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showInkAnnotation="0" codeName="ThisWorkbook"/>
  <mc:AlternateContent xmlns:mc="http://schemas.openxmlformats.org/markup-compatibility/2006">
    <mc:Choice Requires="x15">
      <x15ac:absPath xmlns:x15ac="http://schemas.microsoft.com/office/spreadsheetml/2010/11/ac" url="https://ausgovenvironment.sharepoint.com/sites/BODE20/Shared Documents/AWE/Environment/Protection/Hazardous waste/pubs/"/>
    </mc:Choice>
  </mc:AlternateContent>
  <xr:revisionPtr revIDLastSave="3" documentId="8_{CD5621F8-443D-4FF7-B7FE-4FCD3A10BF92}" xr6:coauthVersionLast="47" xr6:coauthVersionMax="47" xr10:uidLastSave="{B734BDF3-E611-4CA9-B03A-5ACD303CDC48}"/>
  <bookViews>
    <workbookView xWindow="-120" yWindow="-120" windowWidth="29040" windowHeight="15840" tabRatio="716" xr2:uid="{00000000-000D-0000-FFFF-FFFF00000000}"/>
  </bookViews>
  <sheets>
    <sheet name="Intro" sheetId="103" r:id="rId1"/>
    <sheet name="Generation by financial year" sheetId="97" r:id="rId2"/>
    <sheet name="Methods" sheetId="108" r:id="rId3"/>
    <sheet name="Basel data" sheetId="98" r:id="rId4"/>
    <sheet name="NEPM data" sheetId="99" r:id="rId5"/>
    <sheet name="Interstate 'D' wastes" sheetId="106" r:id="rId6"/>
    <sheet name="Biosolids" sheetId="109" r:id="rId7"/>
    <sheet name="D110 and J100" sheetId="110" r:id="rId8"/>
  </sheets>
  <externalReferences>
    <externalReference r:id="rId9"/>
  </externalReferences>
  <definedNames>
    <definedName name="_xlnm._FilterDatabase" localSheetId="4" hidden="1">'NEPM data'!$B$171:$P$1011</definedName>
    <definedName name="_ftn1" localSheetId="2">Methods!$A$7</definedName>
    <definedName name="_ftnref1" localSheetId="2">Methods!$B$4</definedName>
    <definedName name="G110_correction">'[1]Gap data'!$B$144</definedName>
    <definedName name="J120_correction">'[1]Gap data'!$B$145</definedName>
    <definedName name="K110_correction">'[1]Gap data'!$B$146</definedName>
    <definedName name="Nat_data_popn">Biosolids!$A$3</definedName>
    <definedName name="Pop_ACT">Biosolids!$C$15</definedName>
    <definedName name="Pop_Aus">Biosolids!$K$15</definedName>
    <definedName name="Pop_NSW">Biosolids!$D$15</definedName>
    <definedName name="Pop_NT">Biosolids!$E$15</definedName>
    <definedName name="Pop_Qld">Biosolids!$F$15</definedName>
    <definedName name="Pop_SA">Biosolids!$G$15</definedName>
    <definedName name="Pop_Tas">Biosolids!$H$15</definedName>
    <definedName name="Pop_Vic">Biosolids!$I$15</definedName>
    <definedName name="Pop_WA">Biosolids!$J$15</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0" i="97" l="1"/>
  <c r="AT9" i="97"/>
  <c r="P85" i="97"/>
  <c r="P11" i="97"/>
  <c r="P12" i="97"/>
  <c r="P13" i="97"/>
  <c r="P14" i="97"/>
  <c r="P15" i="97"/>
  <c r="P16" i="97"/>
  <c r="P17" i="97"/>
  <c r="P18" i="97"/>
  <c r="P19" i="97"/>
  <c r="P20" i="97"/>
  <c r="P21" i="97"/>
  <c r="P22" i="97"/>
  <c r="P23" i="97"/>
  <c r="P24" i="97"/>
  <c r="P25" i="97"/>
  <c r="P26" i="97"/>
  <c r="P27" i="97"/>
  <c r="P28" i="97"/>
  <c r="P29" i="97"/>
  <c r="P30" i="97"/>
  <c r="P31" i="97"/>
  <c r="P32" i="97"/>
  <c r="P33" i="97"/>
  <c r="P34" i="97"/>
  <c r="P35" i="97"/>
  <c r="P36" i="97"/>
  <c r="P37" i="97"/>
  <c r="P38" i="97"/>
  <c r="P39" i="97"/>
  <c r="P40" i="97"/>
  <c r="P41" i="97"/>
  <c r="P42" i="97"/>
  <c r="P43" i="97"/>
  <c r="P44" i="97"/>
  <c r="P45" i="97"/>
  <c r="P46" i="97"/>
  <c r="P47" i="97"/>
  <c r="P48" i="97"/>
  <c r="P49" i="97"/>
  <c r="P50" i="97"/>
  <c r="P51" i="97"/>
  <c r="P52" i="97"/>
  <c r="P53" i="97"/>
  <c r="P54" i="97"/>
  <c r="P55" i="97"/>
  <c r="P56" i="97"/>
  <c r="P57" i="97"/>
  <c r="P58" i="97"/>
  <c r="P59" i="97"/>
  <c r="P60" i="97"/>
  <c r="P61" i="97"/>
  <c r="P62" i="97"/>
  <c r="P63" i="97"/>
  <c r="P64" i="97"/>
  <c r="P65" i="97"/>
  <c r="P66" i="97"/>
  <c r="P67" i="97"/>
  <c r="P68" i="97"/>
  <c r="P69" i="97"/>
  <c r="P70" i="97"/>
  <c r="P71" i="97"/>
  <c r="P72" i="97"/>
  <c r="P73" i="97"/>
  <c r="P74" i="97"/>
  <c r="P174" i="97" s="1"/>
  <c r="P75" i="97"/>
  <c r="P76" i="97"/>
  <c r="P77" i="97"/>
  <c r="P78" i="97"/>
  <c r="P79" i="97"/>
  <c r="P80" i="97"/>
  <c r="P81" i="97"/>
  <c r="P82" i="97"/>
  <c r="P83" i="97"/>
  <c r="P10" i="97"/>
  <c r="P9" i="97" s="1"/>
  <c r="EF9" i="97"/>
  <c r="DQ9" i="97"/>
  <c r="DQ173" i="97"/>
  <c r="DB9" i="97"/>
  <c r="CM9" i="97"/>
  <c r="BX86" i="97"/>
  <c r="BX9" i="97"/>
  <c r="BI174" i="97"/>
  <c r="BI9" i="97"/>
  <c r="AT86" i="97"/>
  <c r="P86" i="97" s="1"/>
  <c r="AE9" i="97"/>
  <c r="AE173" i="97"/>
  <c r="EF173" i="97"/>
  <c r="EF174" i="97"/>
  <c r="DQ174" i="97"/>
  <c r="DB173" i="97"/>
  <c r="DB174" i="97"/>
  <c r="CM173" i="97"/>
  <c r="CM174" i="97"/>
  <c r="BX173" i="97"/>
  <c r="BX174" i="97"/>
  <c r="BI173" i="97"/>
  <c r="AE174" i="97"/>
  <c r="AT173" i="97"/>
  <c r="AT174" i="97"/>
  <c r="P173" i="97"/>
  <c r="EF175" i="97" l="1"/>
  <c r="DQ175" i="97"/>
  <c r="DB175" i="97"/>
  <c r="BX175" i="97"/>
  <c r="CM175" i="97"/>
  <c r="AT175" i="97"/>
  <c r="BI175" i="97"/>
  <c r="AE175" i="97"/>
  <c r="L66" i="97"/>
  <c r="L67" i="97"/>
  <c r="L68" i="97"/>
  <c r="L69" i="97"/>
  <c r="L70" i="97"/>
  <c r="L71" i="97"/>
  <c r="L72" i="97"/>
  <c r="L73" i="97"/>
  <c r="L75" i="97"/>
  <c r="L78" i="97"/>
  <c r="L79" i="97"/>
  <c r="L80" i="97"/>
  <c r="L82" i="97"/>
  <c r="L83" i="97"/>
  <c r="L11" i="97"/>
  <c r="L12" i="97"/>
  <c r="L14" i="97"/>
  <c r="L15" i="97"/>
  <c r="L16" i="97"/>
  <c r="L17" i="97"/>
  <c r="L18" i="97"/>
  <c r="L19" i="97"/>
  <c r="L20" i="97"/>
  <c r="L21" i="97"/>
  <c r="L22" i="97"/>
  <c r="L23" i="97"/>
  <c r="L24" i="97"/>
  <c r="L25" i="97"/>
  <c r="L26" i="97"/>
  <c r="L29" i="97"/>
  <c r="L30" i="97"/>
  <c r="L31" i="97"/>
  <c r="L32" i="97"/>
  <c r="L34" i="97"/>
  <c r="L35" i="97"/>
  <c r="L36" i="97"/>
  <c r="L37" i="97"/>
  <c r="L38" i="97"/>
  <c r="L39" i="97"/>
  <c r="L41" i="97"/>
  <c r="L42" i="97"/>
  <c r="L44" i="97"/>
  <c r="L45" i="97"/>
  <c r="L46" i="97"/>
  <c r="L47" i="97"/>
  <c r="L51" i="97"/>
  <c r="L54" i="97"/>
  <c r="L55" i="97"/>
  <c r="L56" i="97"/>
  <c r="L57" i="97"/>
  <c r="L58" i="97"/>
  <c r="L59" i="97"/>
  <c r="L60" i="97"/>
  <c r="L61" i="97"/>
  <c r="L62" i="97"/>
  <c r="L63" i="97"/>
  <c r="L65" i="97"/>
  <c r="AG74" i="97"/>
  <c r="AP74" i="97"/>
  <c r="L74" i="97" s="1"/>
  <c r="T74" i="97"/>
  <c r="N69" i="106"/>
  <c r="K30" i="106"/>
  <c r="K32" i="106" s="1"/>
  <c r="M30" i="106"/>
  <c r="M32" i="106"/>
  <c r="N30" i="106"/>
  <c r="L28" i="106"/>
  <c r="M16" i="106"/>
  <c r="M19" i="106" s="1"/>
  <c r="L16" i="106"/>
  <c r="L19" i="106" s="1"/>
  <c r="P19" i="106" s="1"/>
  <c r="L9" i="106"/>
  <c r="M6" i="106"/>
  <c r="M9" i="106" s="1"/>
  <c r="O9" i="106" s="1"/>
  <c r="O16" i="106"/>
  <c r="N6" i="106"/>
  <c r="N9" i="106" s="1"/>
  <c r="EE174" i="97"/>
  <c r="ED174" i="97"/>
  <c r="EC174" i="97"/>
  <c r="EB174" i="97"/>
  <c r="EA174" i="97"/>
  <c r="DZ174" i="97"/>
  <c r="DY174" i="97"/>
  <c r="DX174" i="97"/>
  <c r="DW174" i="97"/>
  <c r="DV174" i="97"/>
  <c r="DU174" i="97"/>
  <c r="DT174" i="97"/>
  <c r="EE173" i="97"/>
  <c r="ED173" i="97"/>
  <c r="EC173" i="97"/>
  <c r="EB173" i="97"/>
  <c r="EA173" i="97"/>
  <c r="DZ173" i="97"/>
  <c r="DY173" i="97"/>
  <c r="DX173" i="97"/>
  <c r="DW173" i="97"/>
  <c r="DV173" i="97"/>
  <c r="DU173" i="97"/>
  <c r="DT173" i="97"/>
  <c r="DS173" i="97"/>
  <c r="DP174" i="97"/>
  <c r="DO174" i="97"/>
  <c r="DN174" i="97"/>
  <c r="DM174" i="97"/>
  <c r="DL174" i="97"/>
  <c r="DK174" i="97"/>
  <c r="DJ174" i="97"/>
  <c r="DI174" i="97"/>
  <c r="DH174" i="97"/>
  <c r="DG174" i="97"/>
  <c r="DF174" i="97"/>
  <c r="DE174" i="97"/>
  <c r="DD174" i="97"/>
  <c r="DP173" i="97"/>
  <c r="DO173" i="97"/>
  <c r="DN173" i="97"/>
  <c r="DM173" i="97"/>
  <c r="DL173" i="97"/>
  <c r="DK173" i="97"/>
  <c r="DJ173" i="97"/>
  <c r="DI173" i="97"/>
  <c r="DH173" i="97"/>
  <c r="DG173" i="97"/>
  <c r="DF173" i="97"/>
  <c r="DE173" i="97"/>
  <c r="DD173" i="97"/>
  <c r="DA174" i="97"/>
  <c r="CZ174" i="97"/>
  <c r="CY174" i="97"/>
  <c r="CX174" i="97"/>
  <c r="CW174" i="97"/>
  <c r="DA173" i="97"/>
  <c r="CZ173" i="97"/>
  <c r="CY173" i="97"/>
  <c r="CX173" i="97"/>
  <c r="CW173" i="97"/>
  <c r="CL174" i="97"/>
  <c r="CK174" i="97"/>
  <c r="CJ174" i="97"/>
  <c r="CI174" i="97"/>
  <c r="CH174" i="97"/>
  <c r="CG174" i="97"/>
  <c r="CF174" i="97"/>
  <c r="CE174" i="97"/>
  <c r="CD174" i="97"/>
  <c r="CC174" i="97"/>
  <c r="CB174" i="97"/>
  <c r="CA174" i="97"/>
  <c r="BZ174" i="97"/>
  <c r="CL173" i="97"/>
  <c r="CK173" i="97"/>
  <c r="CJ173" i="97"/>
  <c r="CI173" i="97"/>
  <c r="CH173" i="97"/>
  <c r="CG173" i="97"/>
  <c r="CF173" i="97"/>
  <c r="CE173" i="97"/>
  <c r="CD173" i="97"/>
  <c r="CC173" i="97"/>
  <c r="CB173" i="97"/>
  <c r="CA173" i="97"/>
  <c r="BZ173" i="97"/>
  <c r="BW174" i="97"/>
  <c r="BV174" i="97"/>
  <c r="BT174" i="97"/>
  <c r="BS174" i="97"/>
  <c r="BR174" i="97"/>
  <c r="BQ174" i="97"/>
  <c r="BP174" i="97"/>
  <c r="BO174" i="97"/>
  <c r="BN174" i="97"/>
  <c r="BM174" i="97"/>
  <c r="BL174" i="97"/>
  <c r="BK174" i="97"/>
  <c r="BW173" i="97"/>
  <c r="BV173" i="97"/>
  <c r="BT173" i="97"/>
  <c r="BS173" i="97"/>
  <c r="BR173" i="97"/>
  <c r="BQ173" i="97"/>
  <c r="BP173" i="97"/>
  <c r="BO173" i="97"/>
  <c r="BN173" i="97"/>
  <c r="BM173" i="97"/>
  <c r="BL173" i="97"/>
  <c r="BH174" i="97"/>
  <c r="BG174" i="97"/>
  <c r="BF174" i="97"/>
  <c r="BE174" i="97"/>
  <c r="BD174" i="97"/>
  <c r="BH173" i="97"/>
  <c r="BG173" i="97"/>
  <c r="BF173" i="97"/>
  <c r="BE173" i="97"/>
  <c r="BD173" i="97"/>
  <c r="AS174" i="97"/>
  <c r="AR174" i="97"/>
  <c r="AQ174" i="97"/>
  <c r="AP174" i="97"/>
  <c r="AO174" i="97"/>
  <c r="AN174" i="97"/>
  <c r="AM174" i="97"/>
  <c r="AL174" i="97"/>
  <c r="AK174" i="97"/>
  <c r="AS173" i="97"/>
  <c r="AR173" i="97"/>
  <c r="AQ173" i="97"/>
  <c r="AP173" i="97"/>
  <c r="AO173" i="97"/>
  <c r="AN173" i="97"/>
  <c r="AD174" i="97"/>
  <c r="AC174" i="97"/>
  <c r="AB174" i="97"/>
  <c r="AA174" i="97"/>
  <c r="Z174" i="97"/>
  <c r="AD173" i="97"/>
  <c r="AC173" i="97"/>
  <c r="AB173" i="97"/>
  <c r="AA173" i="97"/>
  <c r="Z173" i="97"/>
  <c r="AJ12" i="97"/>
  <c r="O71" i="106"/>
  <c r="N71" i="106"/>
  <c r="ED86" i="97"/>
  <c r="CZ86" i="97"/>
  <c r="CK86" i="97"/>
  <c r="CV68" i="97"/>
  <c r="CV173" i="97" s="1"/>
  <c r="CV33" i="97"/>
  <c r="CV32" i="97"/>
  <c r="BC174" i="97"/>
  <c r="AS8" i="97"/>
  <c r="AR8" i="97"/>
  <c r="N85" i="110"/>
  <c r="N86" i="110" s="1"/>
  <c r="O85" i="110"/>
  <c r="O62" i="110"/>
  <c r="P85" i="110"/>
  <c r="P86" i="110" s="1"/>
  <c r="K62" i="110"/>
  <c r="L62" i="110"/>
  <c r="M62" i="110"/>
  <c r="K79" i="110"/>
  <c r="P88" i="110" s="1"/>
  <c r="I79" i="110"/>
  <c r="J61" i="110"/>
  <c r="J62" i="110" s="1"/>
  <c r="I61" i="110"/>
  <c r="I62" i="110" s="1"/>
  <c r="H61" i="110"/>
  <c r="H62" i="110" s="1"/>
  <c r="G61" i="110"/>
  <c r="G62" i="110" s="1"/>
  <c r="F61" i="110"/>
  <c r="F62" i="110" s="1"/>
  <c r="E61" i="110"/>
  <c r="E62" i="110" s="1"/>
  <c r="D61" i="110"/>
  <c r="D62" i="110" s="1"/>
  <c r="L36" i="110"/>
  <c r="L44" i="110" s="1"/>
  <c r="N36" i="110"/>
  <c r="N44" i="110" s="1"/>
  <c r="BU16" i="97" s="1"/>
  <c r="BU9" i="97" s="1"/>
  <c r="O36" i="110"/>
  <c r="O45" i="110" s="1"/>
  <c r="P36" i="110"/>
  <c r="P44" i="110"/>
  <c r="BW16" i="97" s="1"/>
  <c r="BW9" i="97" s="1"/>
  <c r="BW175" i="97" s="1"/>
  <c r="M36" i="110"/>
  <c r="M43" i="110" s="1"/>
  <c r="K36" i="110"/>
  <c r="K44" i="110" s="1"/>
  <c r="BR16" i="97" s="1"/>
  <c r="J36" i="110"/>
  <c r="J43" i="110"/>
  <c r="AM16" i="97" s="1"/>
  <c r="I36" i="110"/>
  <c r="I43" i="110" s="1"/>
  <c r="AL16" i="97" s="1"/>
  <c r="H36" i="110"/>
  <c r="H44" i="110" s="1"/>
  <c r="BO16" i="97" s="1"/>
  <c r="G36" i="110"/>
  <c r="G45" i="110" s="1"/>
  <c r="CR16" i="97" s="1"/>
  <c r="F36" i="110"/>
  <c r="F43" i="110" s="1"/>
  <c r="AI16" i="97" s="1"/>
  <c r="E36" i="110"/>
  <c r="E43" i="110" s="1"/>
  <c r="AH16" i="97" s="1"/>
  <c r="D36" i="110"/>
  <c r="D43" i="110" s="1"/>
  <c r="AG16" i="97" s="1"/>
  <c r="L35" i="110"/>
  <c r="L37" i="110" s="1"/>
  <c r="K35" i="110"/>
  <c r="K37" i="110" s="1"/>
  <c r="J35" i="110"/>
  <c r="J37" i="110" s="1"/>
  <c r="I35" i="110"/>
  <c r="I37" i="110" s="1"/>
  <c r="H35" i="110"/>
  <c r="H37" i="110" s="1"/>
  <c r="G35" i="110"/>
  <c r="G37" i="110" s="1"/>
  <c r="F35" i="110"/>
  <c r="F37" i="110"/>
  <c r="E35" i="110"/>
  <c r="E37" i="110" s="1"/>
  <c r="D35" i="110"/>
  <c r="D37" i="110"/>
  <c r="L32" i="110"/>
  <c r="K32" i="110"/>
  <c r="J32" i="110"/>
  <c r="I32" i="110"/>
  <c r="H32" i="110"/>
  <c r="G32" i="110"/>
  <c r="F32" i="110"/>
  <c r="E32" i="110"/>
  <c r="D32" i="110"/>
  <c r="L31" i="110"/>
  <c r="L33" i="110"/>
  <c r="K31" i="110"/>
  <c r="K33" i="110" s="1"/>
  <c r="J31" i="110"/>
  <c r="J33" i="110"/>
  <c r="I31" i="110"/>
  <c r="I33" i="110" s="1"/>
  <c r="H31" i="110"/>
  <c r="H33" i="110" s="1"/>
  <c r="G31" i="110"/>
  <c r="G33" i="110" s="1"/>
  <c r="F31" i="110"/>
  <c r="F33" i="110" s="1"/>
  <c r="E31" i="110"/>
  <c r="E33" i="110" s="1"/>
  <c r="D31" i="110"/>
  <c r="D33" i="110" s="1"/>
  <c r="L30" i="110"/>
  <c r="K30" i="110"/>
  <c r="J30" i="110"/>
  <c r="I30" i="110"/>
  <c r="H30" i="110"/>
  <c r="G30" i="110"/>
  <c r="F30" i="110"/>
  <c r="E30" i="110"/>
  <c r="D30" i="110"/>
  <c r="L29" i="110"/>
  <c r="K29" i="110"/>
  <c r="J29" i="110"/>
  <c r="I29" i="110"/>
  <c r="H29" i="110"/>
  <c r="G29" i="110"/>
  <c r="F29" i="110"/>
  <c r="E29" i="110"/>
  <c r="D29" i="110"/>
  <c r="L28" i="110"/>
  <c r="K28" i="110"/>
  <c r="J28" i="110"/>
  <c r="I28" i="110"/>
  <c r="H28" i="110"/>
  <c r="G28" i="110"/>
  <c r="F28" i="110"/>
  <c r="E28" i="110"/>
  <c r="D28" i="110"/>
  <c r="N43" i="110"/>
  <c r="AQ16" i="97" s="1"/>
  <c r="M16" i="97" s="1"/>
  <c r="L43" i="110"/>
  <c r="H43" i="110"/>
  <c r="AK16" i="97" s="1"/>
  <c r="P43" i="110"/>
  <c r="AS16" i="97" s="1"/>
  <c r="D44" i="110"/>
  <c r="BK16" i="97" s="1"/>
  <c r="O46" i="110"/>
  <c r="K45" i="110"/>
  <c r="CV16" i="97" s="1"/>
  <c r="O44" i="110"/>
  <c r="G44" i="110"/>
  <c r="BN16" i="97" s="1"/>
  <c r="O43" i="110"/>
  <c r="AR16" i="97" s="1"/>
  <c r="N16" i="97" s="1"/>
  <c r="K43" i="110"/>
  <c r="AN16" i="97"/>
  <c r="G43" i="110"/>
  <c r="AJ16" i="97" s="1"/>
  <c r="D45" i="110"/>
  <c r="CO16" i="97"/>
  <c r="N46" i="110"/>
  <c r="DN16" i="97" s="1"/>
  <c r="J46" i="110"/>
  <c r="DJ16" i="97"/>
  <c r="F46" i="110"/>
  <c r="DF16" i="97" s="1"/>
  <c r="N45" i="110"/>
  <c r="CY16" i="97" s="1"/>
  <c r="CY9" i="97" s="1"/>
  <c r="CY175" i="97" s="1"/>
  <c r="J45" i="110"/>
  <c r="CU16" i="97" s="1"/>
  <c r="F45" i="110"/>
  <c r="CQ16" i="97" s="1"/>
  <c r="J44" i="110"/>
  <c r="BQ16" i="97" s="1"/>
  <c r="F44" i="110"/>
  <c r="BM16" i="97" s="1"/>
  <c r="BM9" i="97" s="1"/>
  <c r="BM175" i="97" s="1"/>
  <c r="K46" i="110"/>
  <c r="DK16" i="97" s="1"/>
  <c r="D46" i="110"/>
  <c r="DD16" i="97" s="1"/>
  <c r="M46" i="110"/>
  <c r="I46" i="110"/>
  <c r="DI16" i="97" s="1"/>
  <c r="E46" i="110"/>
  <c r="DE16" i="97"/>
  <c r="M45" i="110"/>
  <c r="I45" i="110"/>
  <c r="CT16" i="97" s="1"/>
  <c r="E45" i="110"/>
  <c r="CP16" i="97" s="1"/>
  <c r="M44" i="110"/>
  <c r="I44" i="110"/>
  <c r="BP16" i="97" s="1"/>
  <c r="BP9" i="97" s="1"/>
  <c r="BP175" i="97" s="1"/>
  <c r="E44" i="110"/>
  <c r="BL16" i="97"/>
  <c r="G46" i="110"/>
  <c r="DG16" i="97"/>
  <c r="P46" i="110"/>
  <c r="L46" i="110"/>
  <c r="H46" i="110"/>
  <c r="DH16" i="97" s="1"/>
  <c r="P45" i="110"/>
  <c r="DA16" i="97" s="1"/>
  <c r="DA9" i="97" s="1"/>
  <c r="L45" i="110"/>
  <c r="H45" i="110"/>
  <c r="CS16" i="97" s="1"/>
  <c r="C66" i="97"/>
  <c r="D66" i="97"/>
  <c r="E66" i="97"/>
  <c r="F66" i="97"/>
  <c r="G66" i="97"/>
  <c r="H66" i="97"/>
  <c r="I66" i="97"/>
  <c r="J66" i="97"/>
  <c r="K66" i="97"/>
  <c r="M66" i="97"/>
  <c r="N66" i="97"/>
  <c r="O66" i="97"/>
  <c r="BG8" i="97"/>
  <c r="BH8" i="97"/>
  <c r="X86" i="97"/>
  <c r="X85" i="97"/>
  <c r="Z86" i="97"/>
  <c r="Z85" i="97"/>
  <c r="AD86" i="97"/>
  <c r="AD85" i="97"/>
  <c r="K103" i="109"/>
  <c r="C101" i="109"/>
  <c r="C102" i="109"/>
  <c r="C99" i="109"/>
  <c r="C96" i="109"/>
  <c r="K88" i="109"/>
  <c r="C86" i="109"/>
  <c r="C87" i="109" s="1"/>
  <c r="C84" i="109"/>
  <c r="C81" i="109" s="1"/>
  <c r="AF68" i="109"/>
  <c r="V68" i="109"/>
  <c r="K68" i="109"/>
  <c r="AE54" i="109"/>
  <c r="AD54" i="109"/>
  <c r="AC54" i="109"/>
  <c r="AB54" i="109"/>
  <c r="Z54" i="109"/>
  <c r="U54" i="109"/>
  <c r="T54" i="109"/>
  <c r="S54" i="109"/>
  <c r="R54" i="109"/>
  <c r="Q54" i="109"/>
  <c r="P54" i="109"/>
  <c r="J54" i="109"/>
  <c r="I54" i="109"/>
  <c r="H54" i="109"/>
  <c r="G54" i="109"/>
  <c r="F54" i="109"/>
  <c r="E54" i="109"/>
  <c r="AE53" i="109"/>
  <c r="AD53" i="109"/>
  <c r="AC53" i="109"/>
  <c r="AB53" i="109"/>
  <c r="AA53" i="109"/>
  <c r="Z53" i="109"/>
  <c r="U53" i="109"/>
  <c r="T53" i="109"/>
  <c r="S53" i="109"/>
  <c r="R53" i="109"/>
  <c r="Q53" i="109"/>
  <c r="P53" i="109"/>
  <c r="J53" i="109"/>
  <c r="I53" i="109"/>
  <c r="H53" i="109"/>
  <c r="G53" i="109"/>
  <c r="F53" i="109"/>
  <c r="E53" i="109"/>
  <c r="AD52" i="109"/>
  <c r="AB52" i="109"/>
  <c r="AB55" i="109" s="1"/>
  <c r="AA52" i="109"/>
  <c r="U52" i="109"/>
  <c r="T52" i="109"/>
  <c r="S52" i="109"/>
  <c r="R52" i="109"/>
  <c r="Q52" i="109"/>
  <c r="P52" i="109"/>
  <c r="J52" i="109"/>
  <c r="I52" i="109"/>
  <c r="H52" i="109"/>
  <c r="G52" i="109"/>
  <c r="F52" i="109"/>
  <c r="E52" i="109"/>
  <c r="AD51" i="109"/>
  <c r="AB51" i="109"/>
  <c r="U51" i="109"/>
  <c r="U55" i="109" s="1"/>
  <c r="T51" i="109"/>
  <c r="S51" i="109"/>
  <c r="R51" i="109"/>
  <c r="R55" i="109" s="1"/>
  <c r="Q51" i="109"/>
  <c r="P51" i="109"/>
  <c r="P55" i="109" s="1"/>
  <c r="J51" i="109"/>
  <c r="I51" i="109"/>
  <c r="H51" i="109"/>
  <c r="H55" i="109" s="1"/>
  <c r="G51" i="109"/>
  <c r="F51" i="109"/>
  <c r="E51" i="109"/>
  <c r="AE50" i="109"/>
  <c r="AD50" i="109"/>
  <c r="AC50" i="109"/>
  <c r="AB50" i="109"/>
  <c r="Z50" i="109"/>
  <c r="U50" i="109"/>
  <c r="T50" i="109"/>
  <c r="S50" i="109"/>
  <c r="R50" i="109"/>
  <c r="Q50" i="109"/>
  <c r="P50" i="109"/>
  <c r="J50" i="109"/>
  <c r="I50" i="109"/>
  <c r="H50" i="109"/>
  <c r="G50" i="109"/>
  <c r="F50" i="109"/>
  <c r="E50" i="109"/>
  <c r="AD49" i="109"/>
  <c r="AB49" i="109"/>
  <c r="U49" i="109"/>
  <c r="T49" i="109"/>
  <c r="T55" i="109" s="1"/>
  <c r="S49" i="109"/>
  <c r="R49" i="109"/>
  <c r="Q49" i="109"/>
  <c r="Q55" i="109" s="1"/>
  <c r="P49" i="109"/>
  <c r="J49" i="109"/>
  <c r="J55" i="109" s="1"/>
  <c r="I49" i="109"/>
  <c r="H49" i="109"/>
  <c r="G49" i="109"/>
  <c r="G55" i="109" s="1"/>
  <c r="F49" i="109"/>
  <c r="E49" i="109"/>
  <c r="AD48" i="109"/>
  <c r="AB48" i="109"/>
  <c r="AA48" i="109"/>
  <c r="U48" i="109"/>
  <c r="T48" i="109"/>
  <c r="S48" i="109"/>
  <c r="S55" i="109" s="1"/>
  <c r="R48" i="109"/>
  <c r="Q48" i="109"/>
  <c r="P48" i="109"/>
  <c r="J48" i="109"/>
  <c r="I48" i="109"/>
  <c r="H48" i="109"/>
  <c r="G48" i="109"/>
  <c r="F48" i="109"/>
  <c r="F55" i="109" s="1"/>
  <c r="E48" i="109"/>
  <c r="AD46" i="109"/>
  <c r="AB46" i="109"/>
  <c r="U46" i="109"/>
  <c r="T46" i="109"/>
  <c r="S46" i="109"/>
  <c r="R46" i="109"/>
  <c r="Q46" i="109"/>
  <c r="P46" i="109"/>
  <c r="O46" i="109"/>
  <c r="J46" i="109"/>
  <c r="I46" i="109"/>
  <c r="H46" i="109"/>
  <c r="G46" i="109"/>
  <c r="F46" i="109"/>
  <c r="E46" i="109"/>
  <c r="D46" i="109"/>
  <c r="AA45" i="109"/>
  <c r="AA54" i="109" s="1"/>
  <c r="Y45" i="109"/>
  <c r="Y54" i="109" s="1"/>
  <c r="Y44" i="109"/>
  <c r="AE43" i="109"/>
  <c r="AE52" i="109" s="1"/>
  <c r="AC43" i="109"/>
  <c r="AC52" i="109" s="1"/>
  <c r="Z43" i="109"/>
  <c r="Z52" i="109" s="1"/>
  <c r="Y43" i="109"/>
  <c r="AE42" i="109"/>
  <c r="AE51" i="109"/>
  <c r="AC42" i="109"/>
  <c r="AC51" i="109"/>
  <c r="AA42" i="109"/>
  <c r="AA51" i="109" s="1"/>
  <c r="Z42" i="109"/>
  <c r="Z51" i="109" s="1"/>
  <c r="Y42" i="109"/>
  <c r="AA41" i="109"/>
  <c r="AA50" i="109" s="1"/>
  <c r="Y41" i="109"/>
  <c r="AE40" i="109"/>
  <c r="AE49" i="109" s="1"/>
  <c r="AC40" i="109"/>
  <c r="AC49" i="109"/>
  <c r="AA40" i="109"/>
  <c r="AA49" i="109"/>
  <c r="Z40" i="109"/>
  <c r="Z49" i="109" s="1"/>
  <c r="Y40" i="109"/>
  <c r="Y46" i="109" s="1"/>
  <c r="AE39" i="109"/>
  <c r="AC39" i="109"/>
  <c r="AC48" i="109"/>
  <c r="AC55" i="109" s="1"/>
  <c r="Z39" i="109"/>
  <c r="Z48" i="109"/>
  <c r="Y35" i="109"/>
  <c r="Y51" i="109" s="1"/>
  <c r="O35" i="109"/>
  <c r="O52" i="109"/>
  <c r="D35" i="109"/>
  <c r="D51" i="109" s="1"/>
  <c r="H31" i="109"/>
  <c r="I33" i="109"/>
  <c r="G31" i="109"/>
  <c r="H33" i="109" s="1"/>
  <c r="F31" i="109"/>
  <c r="G33" i="109" s="1"/>
  <c r="E31" i="109"/>
  <c r="F33" i="109" s="1"/>
  <c r="D31" i="109"/>
  <c r="J33" i="109" s="1"/>
  <c r="C31" i="109"/>
  <c r="D33" i="109" s="1"/>
  <c r="AC30" i="109"/>
  <c r="AB30" i="109"/>
  <c r="AA30" i="109"/>
  <c r="Z30" i="109"/>
  <c r="Y30" i="109"/>
  <c r="X30" i="109"/>
  <c r="AD30" i="109" s="1"/>
  <c r="T30" i="109"/>
  <c r="I30" i="109"/>
  <c r="X28" i="109"/>
  <c r="AC31" i="109" s="1"/>
  <c r="AD33" i="109" s="1"/>
  <c r="N28" i="109"/>
  <c r="R31" i="109" s="1"/>
  <c r="S33" i="109" s="1"/>
  <c r="K17" i="109"/>
  <c r="K16" i="109"/>
  <c r="K15" i="109"/>
  <c r="M82" i="110" s="1"/>
  <c r="K14" i="109"/>
  <c r="K13" i="109"/>
  <c r="K12" i="109"/>
  <c r="K11" i="109"/>
  <c r="K10" i="109"/>
  <c r="K9" i="109"/>
  <c r="K8" i="109"/>
  <c r="K7" i="109"/>
  <c r="K6" i="109"/>
  <c r="K5" i="109"/>
  <c r="C100" i="109"/>
  <c r="C95" i="109"/>
  <c r="E33" i="109"/>
  <c r="BH85" i="97" s="1"/>
  <c r="BG85" i="97" s="1"/>
  <c r="D49" i="109"/>
  <c r="M83" i="110"/>
  <c r="M84" i="110"/>
  <c r="L84" i="110" s="1"/>
  <c r="K84" i="110" s="1"/>
  <c r="J84" i="110" s="1"/>
  <c r="I84" i="110" s="1"/>
  <c r="H84" i="110" s="1"/>
  <c r="G84" i="110" s="1"/>
  <c r="F84" i="110" s="1"/>
  <c r="E84" i="110" s="1"/>
  <c r="D84" i="110" s="1"/>
  <c r="AC46" i="109"/>
  <c r="D52" i="109"/>
  <c r="Y52" i="109"/>
  <c r="D48" i="109"/>
  <c r="AE48" i="109"/>
  <c r="D53" i="109"/>
  <c r="O49" i="109"/>
  <c r="I55" i="109"/>
  <c r="O50" i="109"/>
  <c r="D50" i="109"/>
  <c r="O51" i="109"/>
  <c r="D54" i="109"/>
  <c r="AD55" i="109"/>
  <c r="C82" i="109"/>
  <c r="C78" i="109"/>
  <c r="C85" i="109"/>
  <c r="C79" i="109"/>
  <c r="C83" i="109"/>
  <c r="C80" i="109"/>
  <c r="O53" i="109"/>
  <c r="E55" i="109"/>
  <c r="O54" i="109"/>
  <c r="AA46" i="109"/>
  <c r="O48" i="109"/>
  <c r="O55" i="109" s="1"/>
  <c r="C98" i="109"/>
  <c r="C94" i="109"/>
  <c r="C97" i="109"/>
  <c r="C93" i="109"/>
  <c r="BL97" i="108"/>
  <c r="BK97" i="108" s="1"/>
  <c r="BJ97" i="108" s="1"/>
  <c r="BI97" i="108" s="1"/>
  <c r="BH97" i="108" s="1"/>
  <c r="BG97" i="108" s="1"/>
  <c r="BF97" i="108" s="1"/>
  <c r="BR44" i="108"/>
  <c r="BC82" i="97"/>
  <c r="AX97" i="108"/>
  <c r="AW97" i="108" s="1"/>
  <c r="AV97" i="108" s="1"/>
  <c r="AU97" i="108" s="1"/>
  <c r="AT97" i="108" s="1"/>
  <c r="AS97" i="108" s="1"/>
  <c r="AR97" i="108" s="1"/>
  <c r="EB81" i="97"/>
  <c r="DM81" i="97"/>
  <c r="Z81" i="97"/>
  <c r="AD8" i="97"/>
  <c r="AC8" i="97"/>
  <c r="N11" i="97"/>
  <c r="O11" i="97"/>
  <c r="N12" i="97"/>
  <c r="O12" i="97"/>
  <c r="N13" i="97"/>
  <c r="O13" i="97"/>
  <c r="N14" i="97"/>
  <c r="O14" i="97"/>
  <c r="N15" i="97"/>
  <c r="O15" i="97"/>
  <c r="N17" i="97"/>
  <c r="O17" i="97"/>
  <c r="N18" i="97"/>
  <c r="O18" i="97"/>
  <c r="N19" i="97"/>
  <c r="O19" i="97"/>
  <c r="N20" i="97"/>
  <c r="O20" i="97"/>
  <c r="N21" i="97"/>
  <c r="O21" i="97"/>
  <c r="N22" i="97"/>
  <c r="O22" i="97"/>
  <c r="N23" i="97"/>
  <c r="O23" i="97"/>
  <c r="N24" i="97"/>
  <c r="O24" i="97"/>
  <c r="N25" i="97"/>
  <c r="O25" i="97"/>
  <c r="N26" i="97"/>
  <c r="O26" i="97"/>
  <c r="N28" i="97"/>
  <c r="N29" i="97"/>
  <c r="O29" i="97"/>
  <c r="N30" i="97"/>
  <c r="O30" i="97"/>
  <c r="N31" i="97"/>
  <c r="O31" i="97"/>
  <c r="N32" i="97"/>
  <c r="O32" i="97"/>
  <c r="N33" i="97"/>
  <c r="O33" i="97"/>
  <c r="N34" i="97"/>
  <c r="O34" i="97"/>
  <c r="N35" i="97"/>
  <c r="O35" i="97"/>
  <c r="N36" i="97"/>
  <c r="O36" i="97"/>
  <c r="N37" i="97"/>
  <c r="O37" i="97"/>
  <c r="N38" i="97"/>
  <c r="O38" i="97"/>
  <c r="N39" i="97"/>
  <c r="O39" i="97"/>
  <c r="N40" i="97"/>
  <c r="O40" i="97"/>
  <c r="N41" i="97"/>
  <c r="O41" i="97"/>
  <c r="N42" i="97"/>
  <c r="O42" i="97"/>
  <c r="N43" i="97"/>
  <c r="O43" i="97"/>
  <c r="N44" i="97"/>
  <c r="O44" i="97"/>
  <c r="N45" i="97"/>
  <c r="O45" i="97"/>
  <c r="N46" i="97"/>
  <c r="O46" i="97"/>
  <c r="N47" i="97"/>
  <c r="O47" i="97"/>
  <c r="N48" i="97"/>
  <c r="O48" i="97"/>
  <c r="N49" i="97"/>
  <c r="O49" i="97"/>
  <c r="N50" i="97"/>
  <c r="O50" i="97"/>
  <c r="N51" i="97"/>
  <c r="O51" i="97"/>
  <c r="N52" i="97"/>
  <c r="O52" i="97"/>
  <c r="N53" i="97"/>
  <c r="O53" i="97"/>
  <c r="N54" i="97"/>
  <c r="O54" i="97"/>
  <c r="N55" i="97"/>
  <c r="O55" i="97"/>
  <c r="N56" i="97"/>
  <c r="O56" i="97"/>
  <c r="N57" i="97"/>
  <c r="O57" i="97"/>
  <c r="N58" i="97"/>
  <c r="O58" i="97"/>
  <c r="N59" i="97"/>
  <c r="O59" i="97"/>
  <c r="N60" i="97"/>
  <c r="O60" i="97"/>
  <c r="N61" i="97"/>
  <c r="O61" i="97"/>
  <c r="N62" i="97"/>
  <c r="O62" i="97"/>
  <c r="N63" i="97"/>
  <c r="O63" i="97"/>
  <c r="N64" i="97"/>
  <c r="O64" i="97"/>
  <c r="N65" i="97"/>
  <c r="O65" i="97"/>
  <c r="N67" i="97"/>
  <c r="O67" i="97"/>
  <c r="N68" i="97"/>
  <c r="N173" i="97" s="1"/>
  <c r="O68" i="97"/>
  <c r="O173" i="97" s="1"/>
  <c r="N69" i="97"/>
  <c r="O69" i="97"/>
  <c r="N70" i="97"/>
  <c r="O70" i="97"/>
  <c r="N71" i="97"/>
  <c r="O71" i="97"/>
  <c r="N72" i="97"/>
  <c r="O72" i="97"/>
  <c r="N73" i="97"/>
  <c r="O73" i="97"/>
  <c r="N74" i="97"/>
  <c r="N174" i="97" s="1"/>
  <c r="O74" i="97"/>
  <c r="O174" i="97" s="1"/>
  <c r="N75" i="97"/>
  <c r="O75" i="97"/>
  <c r="N76" i="97"/>
  <c r="O76" i="97"/>
  <c r="N77" i="97"/>
  <c r="O77" i="97"/>
  <c r="N78" i="97"/>
  <c r="O78" i="97"/>
  <c r="N79" i="97"/>
  <c r="O79" i="97"/>
  <c r="N80" i="97"/>
  <c r="O80" i="97"/>
  <c r="N81" i="97"/>
  <c r="O81" i="97"/>
  <c r="N82" i="97"/>
  <c r="O82" i="97"/>
  <c r="N83" i="97"/>
  <c r="O83" i="97"/>
  <c r="N10" i="97"/>
  <c r="BQ81" i="97"/>
  <c r="BP81" i="97" s="1"/>
  <c r="BO81" i="97" s="1"/>
  <c r="BN81" i="97" s="1"/>
  <c r="BM81" i="97" s="1"/>
  <c r="BL81" i="97" s="1"/>
  <c r="BK81" i="97" s="1"/>
  <c r="BU68" i="97"/>
  <c r="BK68" i="97" s="1"/>
  <c r="BU17" i="97"/>
  <c r="BU18" i="97"/>
  <c r="BU19" i="97"/>
  <c r="BU20" i="97"/>
  <c r="BU21" i="97"/>
  <c r="BU22" i="97"/>
  <c r="BU23" i="97"/>
  <c r="BU24" i="97"/>
  <c r="BU25" i="97"/>
  <c r="BU26" i="97"/>
  <c r="BU27" i="97"/>
  <c r="BU28" i="97"/>
  <c r="BU29" i="97"/>
  <c r="BU30" i="97"/>
  <c r="BU31" i="97"/>
  <c r="BU32" i="97"/>
  <c r="BU33" i="97"/>
  <c r="BU34" i="97"/>
  <c r="BU35" i="97"/>
  <c r="BU36" i="97"/>
  <c r="BU37" i="97"/>
  <c r="BU38" i="97"/>
  <c r="BU39" i="97"/>
  <c r="BU40" i="97"/>
  <c r="BU41" i="97"/>
  <c r="BU42" i="97"/>
  <c r="BU43" i="97"/>
  <c r="BU44" i="97"/>
  <c r="BU45" i="97"/>
  <c r="BU46" i="97"/>
  <c r="BU47" i="97"/>
  <c r="BU48" i="97"/>
  <c r="BU49" i="97"/>
  <c r="BU50" i="97"/>
  <c r="BU51" i="97"/>
  <c r="BU52" i="97"/>
  <c r="BU53" i="97"/>
  <c r="BU54" i="97"/>
  <c r="BU55" i="97"/>
  <c r="BU56" i="97"/>
  <c r="BU57" i="97"/>
  <c r="BU58" i="97"/>
  <c r="BU59" i="97"/>
  <c r="BU60" i="97"/>
  <c r="BU61" i="97"/>
  <c r="BU62" i="97"/>
  <c r="BU63" i="97"/>
  <c r="BU64" i="97"/>
  <c r="BU65" i="97"/>
  <c r="BU67" i="97"/>
  <c r="BU69" i="97"/>
  <c r="BU70" i="97"/>
  <c r="BU71" i="97"/>
  <c r="BU72" i="97"/>
  <c r="BU73" i="97"/>
  <c r="BU174" i="97"/>
  <c r="BU75" i="97"/>
  <c r="BU76" i="97"/>
  <c r="BU77" i="97"/>
  <c r="BU78" i="97"/>
  <c r="BU79" i="97"/>
  <c r="BU80" i="97"/>
  <c r="BU82" i="97"/>
  <c r="BU83" i="97"/>
  <c r="BU11" i="97"/>
  <c r="BU12" i="97"/>
  <c r="BU13" i="97"/>
  <c r="BU14" i="97"/>
  <c r="BU15" i="97"/>
  <c r="BU10" i="97"/>
  <c r="BV8" i="97"/>
  <c r="BU81" i="97" s="1"/>
  <c r="BW8" i="97"/>
  <c r="CG53" i="97"/>
  <c r="CF53" i="97" s="1"/>
  <c r="CE53" i="97" s="1"/>
  <c r="CD53" i="97" s="1"/>
  <c r="CC53" i="97" s="1"/>
  <c r="CB53" i="97" s="1"/>
  <c r="CA53" i="97" s="1"/>
  <c r="BZ53" i="97" s="1"/>
  <c r="I67" i="106"/>
  <c r="J67" i="106"/>
  <c r="J66" i="106"/>
  <c r="H66" i="106"/>
  <c r="H67" i="106"/>
  <c r="N73" i="106"/>
  <c r="O73" i="106"/>
  <c r="D73" i="106"/>
  <c r="E73" i="106"/>
  <c r="F73" i="106"/>
  <c r="G73" i="106"/>
  <c r="H73" i="106"/>
  <c r="I73" i="106"/>
  <c r="J73" i="106"/>
  <c r="K73" i="106"/>
  <c r="L73" i="106"/>
  <c r="M73" i="106"/>
  <c r="E66" i="106"/>
  <c r="F66" i="106"/>
  <c r="G66" i="106"/>
  <c r="E67" i="106"/>
  <c r="F67" i="106"/>
  <c r="G67" i="106"/>
  <c r="D67" i="106"/>
  <c r="D66" i="106"/>
  <c r="O69" i="106"/>
  <c r="O68" i="106"/>
  <c r="O72" i="106" s="1"/>
  <c r="CF81" i="97"/>
  <c r="CE81" i="97" s="1"/>
  <c r="CD81" i="97" s="1"/>
  <c r="CC81" i="97" s="1"/>
  <c r="CB81" i="97" s="1"/>
  <c r="CA81" i="97" s="1"/>
  <c r="BZ81" i="97" s="1"/>
  <c r="CI76" i="97"/>
  <c r="CI50" i="97"/>
  <c r="CI53" i="97"/>
  <c r="CI43" i="97"/>
  <c r="CL8" i="97"/>
  <c r="CK8" i="97"/>
  <c r="CI81" i="97"/>
  <c r="DS27" i="97"/>
  <c r="DT27" i="97"/>
  <c r="DU27" i="97"/>
  <c r="DV27" i="97"/>
  <c r="DW27" i="97"/>
  <c r="DX27" i="97"/>
  <c r="DY27" i="97"/>
  <c r="DZ27" i="97"/>
  <c r="EB27" i="97"/>
  <c r="EB53" i="97"/>
  <c r="EB50" i="97"/>
  <c r="EB43" i="97"/>
  <c r="DY81" i="97"/>
  <c r="DX81" i="97" s="1"/>
  <c r="DW81" i="97" s="1"/>
  <c r="DV81" i="97" s="1"/>
  <c r="DU81" i="97" s="1"/>
  <c r="DT81" i="97" s="1"/>
  <c r="DS81" i="97" s="1"/>
  <c r="DS174" i="97"/>
  <c r="ED8" i="97"/>
  <c r="EE9" i="97"/>
  <c r="EE175" i="97" s="1"/>
  <c r="AM81" i="97"/>
  <c r="AL81" i="97" s="1"/>
  <c r="AK81" i="97" s="1"/>
  <c r="AJ81" i="97" s="1"/>
  <c r="AI81" i="97" s="1"/>
  <c r="AH81" i="97" s="1"/>
  <c r="AG81" i="97" s="1"/>
  <c r="DJ81" i="97"/>
  <c r="DI81" i="97" s="1"/>
  <c r="DH81" i="97" s="1"/>
  <c r="DG81" i="97" s="1"/>
  <c r="DF81" i="97" s="1"/>
  <c r="DE81" i="97" s="1"/>
  <c r="DD81" i="97" s="1"/>
  <c r="DI28" i="97"/>
  <c r="DJ28" i="97"/>
  <c r="DD13" i="97"/>
  <c r="DE13" i="97"/>
  <c r="DF13" i="97"/>
  <c r="DG13" i="97"/>
  <c r="DH13" i="97"/>
  <c r="DI13" i="97"/>
  <c r="DJ13" i="97"/>
  <c r="DK13" i="97"/>
  <c r="AG27" i="97"/>
  <c r="AH27" i="97"/>
  <c r="AI27" i="97"/>
  <c r="AJ27" i="97"/>
  <c r="L44" i="106"/>
  <c r="C43" i="106"/>
  <c r="C44" i="106" s="1"/>
  <c r="C45" i="106" s="1"/>
  <c r="E39" i="106"/>
  <c r="E40" i="106"/>
  <c r="AN43" i="97"/>
  <c r="DM50" i="97"/>
  <c r="DM43" i="97"/>
  <c r="DM40" i="97"/>
  <c r="L29" i="106"/>
  <c r="DM33" i="97" s="1"/>
  <c r="N72" i="106"/>
  <c r="C46" i="106"/>
  <c r="C47" i="106"/>
  <c r="C48" i="106" s="1"/>
  <c r="C49" i="106" s="1"/>
  <c r="C50" i="106" s="1"/>
  <c r="C51" i="106" s="1"/>
  <c r="C52" i="106" s="1"/>
  <c r="DM27" i="97"/>
  <c r="DM13" i="97"/>
  <c r="N32" i="106"/>
  <c r="DM28" i="97"/>
  <c r="M69" i="106"/>
  <c r="N19" i="106"/>
  <c r="DK28" i="97"/>
  <c r="CV11" i="97"/>
  <c r="CV12" i="97"/>
  <c r="CV13" i="97"/>
  <c r="CV14" i="97"/>
  <c r="CV15" i="97"/>
  <c r="CV17" i="97"/>
  <c r="CV18" i="97"/>
  <c r="CV19" i="97"/>
  <c r="CV20" i="97"/>
  <c r="CV21" i="97"/>
  <c r="CV22" i="97"/>
  <c r="CV23" i="97"/>
  <c r="CV24" i="97"/>
  <c r="CV25" i="97"/>
  <c r="CV26" i="97"/>
  <c r="CV27" i="97"/>
  <c r="CV28" i="97"/>
  <c r="CV29" i="97"/>
  <c r="CV30" i="97"/>
  <c r="CV31" i="97"/>
  <c r="CV34" i="97"/>
  <c r="CV35" i="97"/>
  <c r="CV36" i="97"/>
  <c r="CV37" i="97"/>
  <c r="CV38" i="97"/>
  <c r="CV39" i="97"/>
  <c r="CV40" i="97"/>
  <c r="CV41" i="97"/>
  <c r="CV42" i="97"/>
  <c r="CV43" i="97"/>
  <c r="CV44" i="97"/>
  <c r="CV45" i="97"/>
  <c r="CV46" i="97"/>
  <c r="CV47" i="97"/>
  <c r="CV48" i="97"/>
  <c r="CV49" i="97"/>
  <c r="CV50" i="97"/>
  <c r="CV51" i="97"/>
  <c r="CV52" i="97"/>
  <c r="CV53" i="97"/>
  <c r="CV54" i="97"/>
  <c r="CV55" i="97"/>
  <c r="CV56" i="97"/>
  <c r="CV57" i="97"/>
  <c r="CV58" i="97"/>
  <c r="CV59" i="97"/>
  <c r="CV60" i="97"/>
  <c r="CV61" i="97"/>
  <c r="CV62" i="97"/>
  <c r="CV63" i="97"/>
  <c r="CV64" i="97"/>
  <c r="CV65" i="97"/>
  <c r="CV67" i="97"/>
  <c r="CV69" i="97"/>
  <c r="CV70" i="97"/>
  <c r="CV71" i="97"/>
  <c r="CV72" i="97"/>
  <c r="CV73" i="97"/>
  <c r="CV174" i="97"/>
  <c r="CV75" i="97"/>
  <c r="CV76" i="97"/>
  <c r="CV77" i="97"/>
  <c r="CV78" i="97"/>
  <c r="CV79" i="97"/>
  <c r="CV80" i="97"/>
  <c r="CV82" i="97"/>
  <c r="CV83" i="97"/>
  <c r="CV10" i="97"/>
  <c r="BC11" i="97"/>
  <c r="BC12" i="97"/>
  <c r="BC13" i="97"/>
  <c r="BC14" i="97"/>
  <c r="BC15" i="97"/>
  <c r="BC16" i="97"/>
  <c r="BC17" i="97"/>
  <c r="BC18" i="97"/>
  <c r="BC19" i="97"/>
  <c r="BC20" i="97"/>
  <c r="BC21" i="97"/>
  <c r="BC22" i="97"/>
  <c r="BC23" i="97"/>
  <c r="BC24" i="97"/>
  <c r="BC25" i="97"/>
  <c r="BC26" i="97"/>
  <c r="BC27" i="97"/>
  <c r="BC28" i="97"/>
  <c r="BC29" i="97"/>
  <c r="BC30" i="97"/>
  <c r="BC31" i="97"/>
  <c r="BC32" i="97"/>
  <c r="BC33" i="97"/>
  <c r="BC34" i="97"/>
  <c r="BC35" i="97"/>
  <c r="BC36" i="97"/>
  <c r="BC37" i="97"/>
  <c r="BC38" i="97"/>
  <c r="BC39" i="97"/>
  <c r="BC40" i="97"/>
  <c r="BC41" i="97"/>
  <c r="BC42" i="97"/>
  <c r="BC43" i="97"/>
  <c r="BC44" i="97"/>
  <c r="BC45" i="97"/>
  <c r="BC46" i="97"/>
  <c r="BC47" i="97"/>
  <c r="BC48" i="97"/>
  <c r="BC49" i="97"/>
  <c r="BC50" i="97"/>
  <c r="BC51" i="97"/>
  <c r="BC52" i="97"/>
  <c r="BC53" i="97"/>
  <c r="BC54" i="97"/>
  <c r="BC55" i="97"/>
  <c r="BC56" i="97"/>
  <c r="BC57" i="97"/>
  <c r="BC58" i="97"/>
  <c r="BC59" i="97"/>
  <c r="BC60" i="97"/>
  <c r="BC61" i="97"/>
  <c r="BC62" i="97"/>
  <c r="BC63" i="97"/>
  <c r="BC64" i="97"/>
  <c r="BC65" i="97"/>
  <c r="BC67" i="97"/>
  <c r="BC68" i="97"/>
  <c r="BC173" i="97" s="1"/>
  <c r="BC69" i="97"/>
  <c r="BC70" i="97"/>
  <c r="BC71" i="97"/>
  <c r="BC72" i="97"/>
  <c r="BC73" i="97"/>
  <c r="BC75" i="97"/>
  <c r="BC76" i="97"/>
  <c r="BC77" i="97"/>
  <c r="BC78" i="97"/>
  <c r="BC79" i="97"/>
  <c r="BC80" i="97"/>
  <c r="BC81" i="97"/>
  <c r="BC83" i="97"/>
  <c r="BC10" i="97"/>
  <c r="Y14" i="97"/>
  <c r="Y12" i="97"/>
  <c r="Y10" i="97"/>
  <c r="Y11" i="97"/>
  <c r="Y13" i="97"/>
  <c r="Y15" i="97"/>
  <c r="Y16" i="97"/>
  <c r="Y17" i="97"/>
  <c r="Y18" i="97"/>
  <c r="Y19" i="97"/>
  <c r="Y20" i="97"/>
  <c r="Y21" i="97"/>
  <c r="Y22" i="97"/>
  <c r="Y23" i="97"/>
  <c r="Y24" i="97"/>
  <c r="Y25" i="97"/>
  <c r="Y26" i="97"/>
  <c r="Y27" i="97"/>
  <c r="Y28" i="97"/>
  <c r="Y29" i="97"/>
  <c r="Y30" i="97"/>
  <c r="Y31" i="97"/>
  <c r="Y32" i="97"/>
  <c r="Y33" i="97"/>
  <c r="Y34" i="97"/>
  <c r="Y35" i="97"/>
  <c r="Y36" i="97"/>
  <c r="Y37" i="97"/>
  <c r="Y38" i="97"/>
  <c r="Y39" i="97"/>
  <c r="Y40" i="97"/>
  <c r="Y41" i="97"/>
  <c r="Y42" i="97"/>
  <c r="Y43" i="97"/>
  <c r="Y44" i="97"/>
  <c r="Y45" i="97"/>
  <c r="Y46" i="97"/>
  <c r="Y47" i="97"/>
  <c r="Y48" i="97"/>
  <c r="Y49" i="97"/>
  <c r="Y50" i="97"/>
  <c r="Y51" i="97"/>
  <c r="Y52" i="97"/>
  <c r="Y53" i="97"/>
  <c r="Y54" i="97"/>
  <c r="Y55" i="97"/>
  <c r="Y56" i="97"/>
  <c r="Y57" i="97"/>
  <c r="Y58" i="97"/>
  <c r="Y59" i="97"/>
  <c r="Y60" i="97"/>
  <c r="Y61" i="97"/>
  <c r="Y62" i="97"/>
  <c r="Y63" i="97"/>
  <c r="Y64" i="97"/>
  <c r="Y65" i="97"/>
  <c r="Y67" i="97"/>
  <c r="Y68" i="97"/>
  <c r="Y173" i="97" s="1"/>
  <c r="Y69" i="97"/>
  <c r="Y70" i="97"/>
  <c r="Y71" i="97"/>
  <c r="Y72" i="97"/>
  <c r="Y75" i="97"/>
  <c r="Y76" i="97"/>
  <c r="Y77" i="97"/>
  <c r="Y78" i="97"/>
  <c r="Y79" i="97"/>
  <c r="Y80" i="97"/>
  <c r="Y82" i="97"/>
  <c r="Y83" i="97"/>
  <c r="AG48" i="97"/>
  <c r="AG40" i="97"/>
  <c r="AH40" i="97"/>
  <c r="AI40" i="97"/>
  <c r="AJ40" i="97"/>
  <c r="AM68" i="97"/>
  <c r="AM173" i="97" s="1"/>
  <c r="AL64" i="97"/>
  <c r="AK64" i="97"/>
  <c r="AJ64" i="97" s="1"/>
  <c r="AI64" i="97" s="1"/>
  <c r="AH64" i="97" s="1"/>
  <c r="AG64" i="97" s="1"/>
  <c r="AK40" i="97"/>
  <c r="AL40" i="97"/>
  <c r="AG13" i="97"/>
  <c r="AH13" i="97"/>
  <c r="AI13" i="97"/>
  <c r="AJ13" i="97"/>
  <c r="AK13" i="97"/>
  <c r="AL13" i="97"/>
  <c r="AP81" i="97"/>
  <c r="AM64" i="97"/>
  <c r="AM40" i="97"/>
  <c r="AP77" i="97"/>
  <c r="L77" i="97" s="1"/>
  <c r="AP76" i="97"/>
  <c r="AP50" i="97"/>
  <c r="AN64" i="97"/>
  <c r="AN48" i="97"/>
  <c r="AP43" i="97"/>
  <c r="AL68" i="97"/>
  <c r="AL173" i="97" s="1"/>
  <c r="AN40" i="97"/>
  <c r="AN13" i="97"/>
  <c r="AN10" i="97"/>
  <c r="AP52" i="97"/>
  <c r="L52" i="97" s="1"/>
  <c r="AJ52" i="97"/>
  <c r="AI52" i="97" s="1"/>
  <c r="AH52" i="97" s="1"/>
  <c r="AG52" i="97" s="1"/>
  <c r="AP53" i="97"/>
  <c r="AJ53" i="97"/>
  <c r="AI53" i="97" s="1"/>
  <c r="AH53" i="97" s="1"/>
  <c r="AG53" i="97" s="1"/>
  <c r="AK68" i="97"/>
  <c r="AK173" i="97" s="1"/>
  <c r="AP10" i="97"/>
  <c r="L10" i="97" s="1"/>
  <c r="AP64" i="97"/>
  <c r="L64" i="97" s="1"/>
  <c r="AP48" i="97"/>
  <c r="L48" i="97" s="1"/>
  <c r="AP40" i="97"/>
  <c r="AP33" i="97"/>
  <c r="AP13" i="97"/>
  <c r="O1088" i="99"/>
  <c r="P1032" i="99" s="1"/>
  <c r="M1088" i="99"/>
  <c r="Q1088" i="99" s="1"/>
  <c r="K1088" i="99"/>
  <c r="L1032" i="99" s="1"/>
  <c r="Q1032" i="99"/>
  <c r="Q1031" i="99"/>
  <c r="L1031" i="99"/>
  <c r="P1031" i="99"/>
  <c r="M1087" i="99"/>
  <c r="N1071" i="99" s="1"/>
  <c r="N1056" i="99"/>
  <c r="O1087" i="99"/>
  <c r="P1035" i="99" s="1"/>
  <c r="M68" i="106"/>
  <c r="P1079" i="99"/>
  <c r="P1047" i="99"/>
  <c r="P1017" i="99"/>
  <c r="P1048" i="99"/>
  <c r="P1074" i="99"/>
  <c r="P1060" i="99"/>
  <c r="P1037" i="99"/>
  <c r="P1020" i="99"/>
  <c r="P1081" i="99"/>
  <c r="P1069" i="99"/>
  <c r="P1045" i="99"/>
  <c r="P1027" i="99"/>
  <c r="P1044" i="99"/>
  <c r="AD9" i="97"/>
  <c r="AC9" i="97"/>
  <c r="BH9" i="97"/>
  <c r="BG9" i="97"/>
  <c r="BV9" i="97"/>
  <c r="BV175" i="97" s="1"/>
  <c r="CK9" i="97"/>
  <c r="CZ9" i="97"/>
  <c r="DO9" i="97"/>
  <c r="ED9" i="97"/>
  <c r="B9" i="97"/>
  <c r="AJ82" i="97"/>
  <c r="AI82" i="97"/>
  <c r="AH82" i="97"/>
  <c r="AG82" i="97"/>
  <c r="AJ80" i="97"/>
  <c r="AI80" i="97"/>
  <c r="AH80" i="97"/>
  <c r="AG80" i="97"/>
  <c r="AJ79" i="97"/>
  <c r="AI79" i="97"/>
  <c r="AH79" i="97"/>
  <c r="AG79" i="97"/>
  <c r="AJ78" i="97"/>
  <c r="AI78" i="97"/>
  <c r="AH78" i="97"/>
  <c r="AG78" i="97"/>
  <c r="AJ61" i="97"/>
  <c r="AI61" i="97"/>
  <c r="AH61" i="97"/>
  <c r="AG61" i="97"/>
  <c r="AH60" i="97"/>
  <c r="AI60" i="97"/>
  <c r="AJ60" i="97"/>
  <c r="AG60" i="97"/>
  <c r="AJ59" i="97"/>
  <c r="AI59" i="97"/>
  <c r="AH59" i="97"/>
  <c r="AG59" i="97"/>
  <c r="AJ24" i="97"/>
  <c r="AJ23" i="97"/>
  <c r="AJ22" i="97"/>
  <c r="AJ21" i="97"/>
  <c r="AJ15" i="97"/>
  <c r="AJ11" i="97"/>
  <c r="AJ42" i="97"/>
  <c r="AJ44" i="97"/>
  <c r="AJ45" i="97"/>
  <c r="AJ47" i="97"/>
  <c r="AJ51" i="97"/>
  <c r="AI51" i="97"/>
  <c r="AH51" i="97"/>
  <c r="AG51" i="97"/>
  <c r="AI47" i="97"/>
  <c r="AH47" i="97"/>
  <c r="AG47" i="97"/>
  <c r="AI45" i="97"/>
  <c r="AH45" i="97"/>
  <c r="AG45" i="97"/>
  <c r="AI44" i="97"/>
  <c r="AH44" i="97"/>
  <c r="AG44" i="97"/>
  <c r="AI42" i="97"/>
  <c r="AH42" i="97"/>
  <c r="AG42" i="97"/>
  <c r="AJ30" i="97"/>
  <c r="AI30" i="97"/>
  <c r="AH30" i="97"/>
  <c r="AG30" i="97"/>
  <c r="AI24" i="97"/>
  <c r="AH24" i="97"/>
  <c r="AG24" i="97"/>
  <c r="AI23" i="97"/>
  <c r="AH23" i="97"/>
  <c r="AG23" i="97"/>
  <c r="AI22" i="97"/>
  <c r="AH22" i="97"/>
  <c r="AG22" i="97"/>
  <c r="AI21" i="97"/>
  <c r="AH21" i="97"/>
  <c r="AG21" i="97"/>
  <c r="AI15" i="97"/>
  <c r="AH15" i="97"/>
  <c r="AG15" i="97"/>
  <c r="AI12" i="97"/>
  <c r="AH12" i="97"/>
  <c r="AG12" i="97"/>
  <c r="AI11" i="97"/>
  <c r="AH11" i="97"/>
  <c r="AG11" i="97"/>
  <c r="AJ76" i="97"/>
  <c r="AI76" i="97"/>
  <c r="AH76" i="97"/>
  <c r="AG76" i="97"/>
  <c r="AJ72" i="97"/>
  <c r="AI72" i="97" s="1"/>
  <c r="AH72" i="97" s="1"/>
  <c r="AG72" i="97" s="1"/>
  <c r="AJ58" i="97"/>
  <c r="AI58" i="97"/>
  <c r="AH58" i="97"/>
  <c r="AG58" i="97"/>
  <c r="AJ57" i="97"/>
  <c r="AI57" i="97"/>
  <c r="AH57" i="97"/>
  <c r="AG57" i="97"/>
  <c r="AJ56" i="97"/>
  <c r="AI56" i="97"/>
  <c r="AH56" i="97"/>
  <c r="AG56" i="97"/>
  <c r="AH50" i="97"/>
  <c r="AI50" i="97"/>
  <c r="AJ50" i="97"/>
  <c r="AG50" i="97"/>
  <c r="AJ49" i="97"/>
  <c r="AI49" i="97"/>
  <c r="AH49" i="97"/>
  <c r="AG49" i="97"/>
  <c r="AJ48" i="97"/>
  <c r="AI48" i="97"/>
  <c r="AH48" i="97"/>
  <c r="AJ46" i="97"/>
  <c r="AI46" i="97"/>
  <c r="AH46" i="97"/>
  <c r="AG46" i="97"/>
  <c r="AG41" i="97"/>
  <c r="AH41" i="97"/>
  <c r="AI41" i="97"/>
  <c r="AJ41" i="97"/>
  <c r="AJ29" i="97"/>
  <c r="AI29" i="97"/>
  <c r="AH29" i="97"/>
  <c r="AG29" i="97"/>
  <c r="AJ20" i="97"/>
  <c r="AI20" i="97"/>
  <c r="AH20" i="97"/>
  <c r="AG20" i="97"/>
  <c r="AJ18" i="97"/>
  <c r="AI18" i="97"/>
  <c r="AH18" i="97"/>
  <c r="AG18" i="97"/>
  <c r="AJ17" i="97"/>
  <c r="AI17" i="97"/>
  <c r="AH17" i="97"/>
  <c r="AG17" i="97"/>
  <c r="AJ19" i="97"/>
  <c r="AI19" i="97"/>
  <c r="AH19" i="97"/>
  <c r="AG19" i="97"/>
  <c r="AJ14" i="97"/>
  <c r="AI14" i="97"/>
  <c r="AH14" i="97"/>
  <c r="AG14" i="97"/>
  <c r="AJ10" i="97"/>
  <c r="AI10" i="97"/>
  <c r="AH10" i="97"/>
  <c r="AG10" i="97"/>
  <c r="F1011" i="99"/>
  <c r="F1010" i="99"/>
  <c r="F1009" i="99"/>
  <c r="F1008" i="99"/>
  <c r="F1007" i="99"/>
  <c r="F1006" i="99"/>
  <c r="F1005" i="99"/>
  <c r="F1004" i="99"/>
  <c r="F1003" i="99"/>
  <c r="F1002" i="99"/>
  <c r="F1001" i="99"/>
  <c r="F1000" i="99"/>
  <c r="F999" i="99"/>
  <c r="F998" i="99"/>
  <c r="F997" i="99"/>
  <c r="F996" i="99"/>
  <c r="F995" i="99"/>
  <c r="F994" i="99"/>
  <c r="F993" i="99"/>
  <c r="F992" i="99"/>
  <c r="F991" i="99"/>
  <c r="F990" i="99"/>
  <c r="F989" i="99"/>
  <c r="F988" i="99"/>
  <c r="F987" i="99"/>
  <c r="F986" i="99"/>
  <c r="F985" i="99"/>
  <c r="F984" i="99"/>
  <c r="F983" i="99"/>
  <c r="F982" i="99"/>
  <c r="F981" i="99"/>
  <c r="F980" i="99"/>
  <c r="F979" i="99"/>
  <c r="F978" i="99"/>
  <c r="F977" i="99"/>
  <c r="F976" i="99"/>
  <c r="F975" i="99"/>
  <c r="F974" i="99"/>
  <c r="F973" i="99"/>
  <c r="F972" i="99"/>
  <c r="F971" i="99"/>
  <c r="F970" i="99"/>
  <c r="F969" i="99"/>
  <c r="F968" i="99"/>
  <c r="F967" i="99"/>
  <c r="F966" i="99"/>
  <c r="F965" i="99"/>
  <c r="F964" i="99"/>
  <c r="F963" i="99"/>
  <c r="F962" i="99"/>
  <c r="F961" i="99"/>
  <c r="F960" i="99"/>
  <c r="F959" i="99"/>
  <c r="F958" i="99"/>
  <c r="F957" i="99"/>
  <c r="F956" i="99"/>
  <c r="F955" i="99"/>
  <c r="F954" i="99"/>
  <c r="F953" i="99"/>
  <c r="F952" i="99"/>
  <c r="F951" i="99"/>
  <c r="F950" i="99"/>
  <c r="F949" i="99"/>
  <c r="F948" i="99"/>
  <c r="F947" i="99"/>
  <c r="F946" i="99"/>
  <c r="F945" i="99"/>
  <c r="F944" i="99"/>
  <c r="F943" i="99"/>
  <c r="F942" i="99"/>
  <c r="F941" i="99"/>
  <c r="F940" i="99"/>
  <c r="F939" i="99"/>
  <c r="F938" i="99"/>
  <c r="F937" i="99"/>
  <c r="F936" i="99"/>
  <c r="F935" i="99"/>
  <c r="F934" i="99"/>
  <c r="F933" i="99"/>
  <c r="F932" i="99"/>
  <c r="F931" i="99"/>
  <c r="F930" i="99"/>
  <c r="F929" i="99"/>
  <c r="F928" i="99"/>
  <c r="F927" i="99"/>
  <c r="F926" i="99"/>
  <c r="F925" i="99"/>
  <c r="F924" i="99"/>
  <c r="F923" i="99"/>
  <c r="F922" i="99"/>
  <c r="F921" i="99"/>
  <c r="F920" i="99"/>
  <c r="F919" i="99"/>
  <c r="F918" i="99"/>
  <c r="F917" i="99"/>
  <c r="F916" i="99"/>
  <c r="F915" i="99"/>
  <c r="F914" i="99"/>
  <c r="F913" i="99"/>
  <c r="F912" i="99"/>
  <c r="F911" i="99"/>
  <c r="F910" i="99"/>
  <c r="F909" i="99"/>
  <c r="F908" i="99"/>
  <c r="F907" i="99"/>
  <c r="F906" i="99"/>
  <c r="F905" i="99"/>
  <c r="F904" i="99"/>
  <c r="F903" i="99"/>
  <c r="F902" i="99"/>
  <c r="F901" i="99"/>
  <c r="F900" i="99"/>
  <c r="F899" i="99"/>
  <c r="F898" i="99"/>
  <c r="F897" i="99"/>
  <c r="F896" i="99"/>
  <c r="F895" i="99"/>
  <c r="F894" i="99"/>
  <c r="F893" i="99"/>
  <c r="F892" i="99"/>
  <c r="F891" i="99"/>
  <c r="F890" i="99"/>
  <c r="F889" i="99"/>
  <c r="F888" i="99"/>
  <c r="F887" i="99"/>
  <c r="F886" i="99"/>
  <c r="F885" i="99"/>
  <c r="F884" i="99"/>
  <c r="F883" i="99"/>
  <c r="F882" i="99"/>
  <c r="F881" i="99"/>
  <c r="F880" i="99"/>
  <c r="F879" i="99"/>
  <c r="F878" i="99"/>
  <c r="F877" i="99"/>
  <c r="F876" i="99"/>
  <c r="F875" i="99"/>
  <c r="F874" i="99"/>
  <c r="F873" i="99"/>
  <c r="F872" i="99"/>
  <c r="F871" i="99"/>
  <c r="F870" i="99"/>
  <c r="F869" i="99"/>
  <c r="F868" i="99"/>
  <c r="F867" i="99"/>
  <c r="F866" i="99"/>
  <c r="F865" i="99"/>
  <c r="F864" i="99"/>
  <c r="F863" i="99"/>
  <c r="F862" i="99"/>
  <c r="F861" i="99"/>
  <c r="F860" i="99"/>
  <c r="F859" i="99"/>
  <c r="F858" i="99"/>
  <c r="F857" i="99"/>
  <c r="F856" i="99"/>
  <c r="F855" i="99"/>
  <c r="F854" i="99"/>
  <c r="F853" i="99"/>
  <c r="F852" i="99"/>
  <c r="F851" i="99"/>
  <c r="F850" i="99"/>
  <c r="F849" i="99"/>
  <c r="F848" i="99"/>
  <c r="F847" i="99"/>
  <c r="F846" i="99"/>
  <c r="F845" i="99"/>
  <c r="F844" i="99"/>
  <c r="F843" i="99"/>
  <c r="F842" i="99"/>
  <c r="F841" i="99"/>
  <c r="F840" i="99"/>
  <c r="F839" i="99"/>
  <c r="F838" i="99"/>
  <c r="F837" i="99"/>
  <c r="F836" i="99"/>
  <c r="F835" i="99"/>
  <c r="F834" i="99"/>
  <c r="F833" i="99"/>
  <c r="F832" i="99"/>
  <c r="F831" i="99"/>
  <c r="F830" i="99"/>
  <c r="F829" i="99"/>
  <c r="F828" i="99"/>
  <c r="F827" i="99"/>
  <c r="F826" i="99"/>
  <c r="F825" i="99"/>
  <c r="F824" i="99"/>
  <c r="F823" i="99"/>
  <c r="F822" i="99"/>
  <c r="F821" i="99"/>
  <c r="F820" i="99"/>
  <c r="F819" i="99"/>
  <c r="F818" i="99"/>
  <c r="F817" i="99"/>
  <c r="F816" i="99"/>
  <c r="F815" i="99"/>
  <c r="F814" i="99"/>
  <c r="F813" i="99"/>
  <c r="F812" i="99"/>
  <c r="F811" i="99"/>
  <c r="F810" i="99"/>
  <c r="F809" i="99"/>
  <c r="F808" i="99"/>
  <c r="F807" i="99"/>
  <c r="F806" i="99"/>
  <c r="F805" i="99"/>
  <c r="F804" i="99"/>
  <c r="F803" i="99"/>
  <c r="F802" i="99"/>
  <c r="F801" i="99"/>
  <c r="F800" i="99"/>
  <c r="F799" i="99"/>
  <c r="F798" i="99"/>
  <c r="F797" i="99"/>
  <c r="F796" i="99"/>
  <c r="F795" i="99"/>
  <c r="F794" i="99"/>
  <c r="F793" i="99"/>
  <c r="F792" i="99"/>
  <c r="F791" i="99"/>
  <c r="F790" i="99"/>
  <c r="F789" i="99"/>
  <c r="F788" i="99"/>
  <c r="F787" i="99"/>
  <c r="F786" i="99"/>
  <c r="F785" i="99"/>
  <c r="F784" i="99"/>
  <c r="F783" i="99"/>
  <c r="F782" i="99"/>
  <c r="F781" i="99"/>
  <c r="F780" i="99"/>
  <c r="F779" i="99"/>
  <c r="F778" i="99"/>
  <c r="F777" i="99"/>
  <c r="F776" i="99"/>
  <c r="F775" i="99"/>
  <c r="F774" i="99"/>
  <c r="F773" i="99"/>
  <c r="F772" i="99"/>
  <c r="F771" i="99"/>
  <c r="F770" i="99"/>
  <c r="F769" i="99"/>
  <c r="F768" i="99"/>
  <c r="F767" i="99"/>
  <c r="F766" i="99"/>
  <c r="F765" i="99"/>
  <c r="F764" i="99"/>
  <c r="F763" i="99"/>
  <c r="F762" i="99"/>
  <c r="F761" i="99"/>
  <c r="F760" i="99"/>
  <c r="F759" i="99"/>
  <c r="F758" i="99"/>
  <c r="F757" i="99"/>
  <c r="F756" i="99"/>
  <c r="F755" i="99"/>
  <c r="F754" i="99"/>
  <c r="F753" i="99"/>
  <c r="F752" i="99"/>
  <c r="F751" i="99"/>
  <c r="F750" i="99"/>
  <c r="F749" i="99"/>
  <c r="F748" i="99"/>
  <c r="F747" i="99"/>
  <c r="F746" i="99"/>
  <c r="F745" i="99"/>
  <c r="F744" i="99"/>
  <c r="F743" i="99"/>
  <c r="F742" i="99"/>
  <c r="F741" i="99"/>
  <c r="F740" i="99"/>
  <c r="F739" i="99"/>
  <c r="F738" i="99"/>
  <c r="F737" i="99"/>
  <c r="F736" i="99"/>
  <c r="F735" i="99"/>
  <c r="F734" i="99"/>
  <c r="F733" i="99"/>
  <c r="F732" i="99"/>
  <c r="F731" i="99"/>
  <c r="F730" i="99"/>
  <c r="F729" i="99"/>
  <c r="F728" i="99"/>
  <c r="F727" i="99"/>
  <c r="F726" i="99"/>
  <c r="F725" i="99"/>
  <c r="F724" i="99"/>
  <c r="F723" i="99"/>
  <c r="F722" i="99"/>
  <c r="F721" i="99"/>
  <c r="F720" i="99"/>
  <c r="F719" i="99"/>
  <c r="F718" i="99"/>
  <c r="F717" i="99"/>
  <c r="F716" i="99"/>
  <c r="F715" i="99"/>
  <c r="F714" i="99"/>
  <c r="F713" i="99"/>
  <c r="F712" i="99"/>
  <c r="F711" i="99"/>
  <c r="F710" i="99"/>
  <c r="F709" i="99"/>
  <c r="F708" i="99"/>
  <c r="F707" i="99"/>
  <c r="F706" i="99"/>
  <c r="F705" i="99"/>
  <c r="F704" i="99"/>
  <c r="F703" i="99"/>
  <c r="F702" i="99"/>
  <c r="F701" i="99"/>
  <c r="F700" i="99"/>
  <c r="F699" i="99"/>
  <c r="F698" i="99"/>
  <c r="F697" i="99"/>
  <c r="F696" i="99"/>
  <c r="F695" i="99"/>
  <c r="F694" i="99"/>
  <c r="F693" i="99"/>
  <c r="F692" i="99"/>
  <c r="F691" i="99"/>
  <c r="F690" i="99"/>
  <c r="F689" i="99"/>
  <c r="F688" i="99"/>
  <c r="F687" i="99"/>
  <c r="F686" i="99"/>
  <c r="F685" i="99"/>
  <c r="F684" i="99"/>
  <c r="F683" i="99"/>
  <c r="F682" i="99"/>
  <c r="F681" i="99"/>
  <c r="F680" i="99"/>
  <c r="F679" i="99"/>
  <c r="F678" i="99"/>
  <c r="F677" i="99"/>
  <c r="F676" i="99"/>
  <c r="F675" i="99"/>
  <c r="F674" i="99"/>
  <c r="F673" i="99"/>
  <c r="F672" i="99"/>
  <c r="F671" i="99"/>
  <c r="F670" i="99"/>
  <c r="F669" i="99"/>
  <c r="F668" i="99"/>
  <c r="F667" i="99"/>
  <c r="F666" i="99"/>
  <c r="F665" i="99"/>
  <c r="F664" i="99"/>
  <c r="F663" i="99"/>
  <c r="F662" i="99"/>
  <c r="F661" i="99"/>
  <c r="F660" i="99"/>
  <c r="F659" i="99"/>
  <c r="F658" i="99"/>
  <c r="F657" i="99"/>
  <c r="F656" i="99"/>
  <c r="F655" i="99"/>
  <c r="F654" i="99"/>
  <c r="F653" i="99"/>
  <c r="F652" i="99"/>
  <c r="F651" i="99"/>
  <c r="F650" i="99"/>
  <c r="F649" i="99"/>
  <c r="F648" i="99"/>
  <c r="F647" i="99"/>
  <c r="F646" i="99"/>
  <c r="F645" i="99"/>
  <c r="F644" i="99"/>
  <c r="F643" i="99"/>
  <c r="F642" i="99"/>
  <c r="F641" i="99"/>
  <c r="F640" i="99"/>
  <c r="F639" i="99"/>
  <c r="F638" i="99"/>
  <c r="F637" i="99"/>
  <c r="F636" i="99"/>
  <c r="F635" i="99"/>
  <c r="F634" i="99"/>
  <c r="F633" i="99"/>
  <c r="F632" i="99"/>
  <c r="F631" i="99"/>
  <c r="F630" i="99"/>
  <c r="F629" i="99"/>
  <c r="F628" i="99"/>
  <c r="F627" i="99"/>
  <c r="F626" i="99"/>
  <c r="F625" i="99"/>
  <c r="F624" i="99"/>
  <c r="F623" i="99"/>
  <c r="F622" i="99"/>
  <c r="F621" i="99"/>
  <c r="F620" i="99"/>
  <c r="F619" i="99"/>
  <c r="F618" i="99"/>
  <c r="F617" i="99"/>
  <c r="F616" i="99"/>
  <c r="F615" i="99"/>
  <c r="F614" i="99"/>
  <c r="F613" i="99"/>
  <c r="F612" i="99"/>
  <c r="F611" i="99"/>
  <c r="F610" i="99"/>
  <c r="F609" i="99"/>
  <c r="F608" i="99"/>
  <c r="F607" i="99"/>
  <c r="F606" i="99"/>
  <c r="F605" i="99"/>
  <c r="F604" i="99"/>
  <c r="F603" i="99"/>
  <c r="F602" i="99"/>
  <c r="F601" i="99"/>
  <c r="F600" i="99"/>
  <c r="F599" i="99"/>
  <c r="F598" i="99"/>
  <c r="F597" i="99"/>
  <c r="F596" i="99"/>
  <c r="F595" i="99"/>
  <c r="F594" i="99"/>
  <c r="F593" i="99"/>
  <c r="F592" i="99"/>
  <c r="F591" i="99"/>
  <c r="F590" i="99"/>
  <c r="F589" i="99"/>
  <c r="F588" i="99"/>
  <c r="F587" i="99"/>
  <c r="F586" i="99"/>
  <c r="F585" i="99"/>
  <c r="F584" i="99"/>
  <c r="F583" i="99"/>
  <c r="F582" i="99"/>
  <c r="F581" i="99"/>
  <c r="F580" i="99"/>
  <c r="F579" i="99"/>
  <c r="F578" i="99"/>
  <c r="F577" i="99"/>
  <c r="F576" i="99"/>
  <c r="F575" i="99"/>
  <c r="F574" i="99"/>
  <c r="F573" i="99"/>
  <c r="F572" i="99"/>
  <c r="F571" i="99"/>
  <c r="F570" i="99"/>
  <c r="F569" i="99"/>
  <c r="F568" i="99"/>
  <c r="F567" i="99"/>
  <c r="F566" i="99"/>
  <c r="F565" i="99"/>
  <c r="F564" i="99"/>
  <c r="F563" i="99"/>
  <c r="F562" i="99"/>
  <c r="F561" i="99"/>
  <c r="F560" i="99"/>
  <c r="F559" i="99"/>
  <c r="F558" i="99"/>
  <c r="F557" i="99"/>
  <c r="F556" i="99"/>
  <c r="F555" i="99"/>
  <c r="F554" i="99"/>
  <c r="F553" i="99"/>
  <c r="F552" i="99"/>
  <c r="F551" i="99"/>
  <c r="F550" i="99"/>
  <c r="F549" i="99"/>
  <c r="F548" i="99"/>
  <c r="F547" i="99"/>
  <c r="F546" i="99"/>
  <c r="F545" i="99"/>
  <c r="F544" i="99"/>
  <c r="F543" i="99"/>
  <c r="F542" i="99"/>
  <c r="F541" i="99"/>
  <c r="F540" i="99"/>
  <c r="F539" i="99"/>
  <c r="F538" i="99"/>
  <c r="F537" i="99"/>
  <c r="F536" i="99"/>
  <c r="F535" i="99"/>
  <c r="F534" i="99"/>
  <c r="F533" i="99"/>
  <c r="F532" i="99"/>
  <c r="F531" i="99"/>
  <c r="F530" i="99"/>
  <c r="F529" i="99"/>
  <c r="F528" i="99"/>
  <c r="F527" i="99"/>
  <c r="F526" i="99"/>
  <c r="F525" i="99"/>
  <c r="F524" i="99"/>
  <c r="F523" i="99"/>
  <c r="F522" i="99"/>
  <c r="F521" i="99"/>
  <c r="F520" i="99"/>
  <c r="F519" i="99"/>
  <c r="F518" i="99"/>
  <c r="F517" i="99"/>
  <c r="F516" i="99"/>
  <c r="F515" i="99"/>
  <c r="F514" i="99"/>
  <c r="F513" i="99"/>
  <c r="F512" i="99"/>
  <c r="F511" i="99"/>
  <c r="F510" i="99"/>
  <c r="F509" i="99"/>
  <c r="F508" i="99"/>
  <c r="F507" i="99"/>
  <c r="F506" i="99"/>
  <c r="F505" i="99"/>
  <c r="F504" i="99"/>
  <c r="F503" i="99"/>
  <c r="F502" i="99"/>
  <c r="F501" i="99"/>
  <c r="F500" i="99"/>
  <c r="F499" i="99"/>
  <c r="F498" i="99"/>
  <c r="F497" i="99"/>
  <c r="F496" i="99"/>
  <c r="F495" i="99"/>
  <c r="F494" i="99"/>
  <c r="F493" i="99"/>
  <c r="F492" i="99"/>
  <c r="F491" i="99"/>
  <c r="F490" i="99"/>
  <c r="F489" i="99"/>
  <c r="F488" i="99"/>
  <c r="F487" i="99"/>
  <c r="F486" i="99"/>
  <c r="F485" i="99"/>
  <c r="F484" i="99"/>
  <c r="F483" i="99"/>
  <c r="F482" i="99"/>
  <c r="F481" i="99"/>
  <c r="F480" i="99"/>
  <c r="F479" i="99"/>
  <c r="F478" i="99"/>
  <c r="F477" i="99"/>
  <c r="F476" i="99"/>
  <c r="F475" i="99"/>
  <c r="F474" i="99"/>
  <c r="F473" i="99"/>
  <c r="F472" i="99"/>
  <c r="F471" i="99"/>
  <c r="F470" i="99"/>
  <c r="F469" i="99"/>
  <c r="F468" i="99"/>
  <c r="F467" i="99"/>
  <c r="F466" i="99"/>
  <c r="F465" i="99"/>
  <c r="F464" i="99"/>
  <c r="F463" i="99"/>
  <c r="F462" i="99"/>
  <c r="F461" i="99"/>
  <c r="F460" i="99"/>
  <c r="F459" i="99"/>
  <c r="F458" i="99"/>
  <c r="F457" i="99"/>
  <c r="F456" i="99"/>
  <c r="F455" i="99"/>
  <c r="F454" i="99"/>
  <c r="F453" i="99"/>
  <c r="F452" i="99"/>
  <c r="F451" i="99"/>
  <c r="F450" i="99"/>
  <c r="F449" i="99"/>
  <c r="F448" i="99"/>
  <c r="F447" i="99"/>
  <c r="F446" i="99"/>
  <c r="F445" i="99"/>
  <c r="F444" i="99"/>
  <c r="F443" i="99"/>
  <c r="F442" i="99"/>
  <c r="F441" i="99"/>
  <c r="F440" i="99"/>
  <c r="F439" i="99"/>
  <c r="F438" i="99"/>
  <c r="F437" i="99"/>
  <c r="F436" i="99"/>
  <c r="F435" i="99"/>
  <c r="F434" i="99"/>
  <c r="F433" i="99"/>
  <c r="F432" i="99"/>
  <c r="F431" i="99"/>
  <c r="F430" i="99"/>
  <c r="F429" i="99"/>
  <c r="F428" i="99"/>
  <c r="F427" i="99"/>
  <c r="F426" i="99"/>
  <c r="F425" i="99"/>
  <c r="F424" i="99"/>
  <c r="F423" i="99"/>
  <c r="F422" i="99"/>
  <c r="F421" i="99"/>
  <c r="F420" i="99"/>
  <c r="F419" i="99"/>
  <c r="F418" i="99"/>
  <c r="F417" i="99"/>
  <c r="F416" i="99"/>
  <c r="F415" i="99"/>
  <c r="F414" i="99"/>
  <c r="F413" i="99"/>
  <c r="F412" i="99"/>
  <c r="F411" i="99"/>
  <c r="F410" i="99"/>
  <c r="F409" i="99"/>
  <c r="F408" i="99"/>
  <c r="F407" i="99"/>
  <c r="F406" i="99"/>
  <c r="F405" i="99"/>
  <c r="F404" i="99"/>
  <c r="F403" i="99"/>
  <c r="F402" i="99"/>
  <c r="F401" i="99"/>
  <c r="F400" i="99"/>
  <c r="F399" i="99"/>
  <c r="F398" i="99"/>
  <c r="F397" i="99"/>
  <c r="F396" i="99"/>
  <c r="F395" i="99"/>
  <c r="F394" i="99"/>
  <c r="F393" i="99"/>
  <c r="F392" i="99"/>
  <c r="F391" i="99"/>
  <c r="F390" i="99"/>
  <c r="F389" i="99"/>
  <c r="F388" i="99"/>
  <c r="F387" i="99"/>
  <c r="F386" i="99"/>
  <c r="F385" i="99"/>
  <c r="F384" i="99"/>
  <c r="F383" i="99"/>
  <c r="F382" i="99"/>
  <c r="F381" i="99"/>
  <c r="F380" i="99"/>
  <c r="F379" i="99"/>
  <c r="F378" i="99"/>
  <c r="F377" i="99"/>
  <c r="F376" i="99"/>
  <c r="F375" i="99"/>
  <c r="F374" i="99"/>
  <c r="F373" i="99"/>
  <c r="F372" i="99"/>
  <c r="F371" i="99"/>
  <c r="F370" i="99"/>
  <c r="F369" i="99"/>
  <c r="F368" i="99"/>
  <c r="F367" i="99"/>
  <c r="F366" i="99"/>
  <c r="F365" i="99"/>
  <c r="F364" i="99"/>
  <c r="F363" i="99"/>
  <c r="F362" i="99"/>
  <c r="F361" i="99"/>
  <c r="F360" i="99"/>
  <c r="F359" i="99"/>
  <c r="F358" i="99"/>
  <c r="F357" i="99"/>
  <c r="F356" i="99"/>
  <c r="F355" i="99"/>
  <c r="F354" i="99"/>
  <c r="F353" i="99"/>
  <c r="F352" i="99"/>
  <c r="F351" i="99"/>
  <c r="F350" i="99"/>
  <c r="F349" i="99"/>
  <c r="F348" i="99"/>
  <c r="F347" i="99"/>
  <c r="F346" i="99"/>
  <c r="F345" i="99"/>
  <c r="F344" i="99"/>
  <c r="F343" i="99"/>
  <c r="F342" i="99"/>
  <c r="F341" i="99"/>
  <c r="F340" i="99"/>
  <c r="F339" i="99"/>
  <c r="F338" i="99"/>
  <c r="F337" i="99"/>
  <c r="F336" i="99"/>
  <c r="F335" i="99"/>
  <c r="F334" i="99"/>
  <c r="F333" i="99"/>
  <c r="F332" i="99"/>
  <c r="F331" i="99"/>
  <c r="F330" i="99"/>
  <c r="F329" i="99"/>
  <c r="F328" i="99"/>
  <c r="F327" i="99"/>
  <c r="F326" i="99"/>
  <c r="F325" i="99"/>
  <c r="F324" i="99"/>
  <c r="F323" i="99"/>
  <c r="F322" i="99"/>
  <c r="F321" i="99"/>
  <c r="F320" i="99"/>
  <c r="F319" i="99"/>
  <c r="F318" i="99"/>
  <c r="F317" i="99"/>
  <c r="F316" i="99"/>
  <c r="F315" i="99"/>
  <c r="F314" i="99"/>
  <c r="F313" i="99"/>
  <c r="F312" i="99"/>
  <c r="F311" i="99"/>
  <c r="F310" i="99"/>
  <c r="F309" i="99"/>
  <c r="F308" i="99"/>
  <c r="F307" i="99"/>
  <c r="F306" i="99"/>
  <c r="F305" i="99"/>
  <c r="F304" i="99"/>
  <c r="F303" i="99"/>
  <c r="F302" i="99"/>
  <c r="F301" i="99"/>
  <c r="F300" i="99"/>
  <c r="F299" i="99"/>
  <c r="F298" i="99"/>
  <c r="F297" i="99"/>
  <c r="F296" i="99"/>
  <c r="F295" i="99"/>
  <c r="F294" i="99"/>
  <c r="F293" i="99"/>
  <c r="F292" i="99"/>
  <c r="F291" i="99"/>
  <c r="F290" i="99"/>
  <c r="F289" i="99"/>
  <c r="F288" i="99"/>
  <c r="F287" i="99"/>
  <c r="F286" i="99"/>
  <c r="F285" i="99"/>
  <c r="F284" i="99"/>
  <c r="F283" i="99"/>
  <c r="F282" i="99"/>
  <c r="F281" i="99"/>
  <c r="F280" i="99"/>
  <c r="F279" i="99"/>
  <c r="F278" i="99"/>
  <c r="F277" i="99"/>
  <c r="F276" i="99"/>
  <c r="F275" i="99"/>
  <c r="F274" i="99"/>
  <c r="F273" i="99"/>
  <c r="F272" i="99"/>
  <c r="F271" i="99"/>
  <c r="F270" i="99"/>
  <c r="F269" i="99"/>
  <c r="F268" i="99"/>
  <c r="F267" i="99"/>
  <c r="F266" i="99"/>
  <c r="F265" i="99"/>
  <c r="F264" i="99"/>
  <c r="F263" i="99"/>
  <c r="F262" i="99"/>
  <c r="F261" i="99"/>
  <c r="F260" i="99"/>
  <c r="F259" i="99"/>
  <c r="F258" i="99"/>
  <c r="F257" i="99"/>
  <c r="F256" i="99"/>
  <c r="F255" i="99"/>
  <c r="F254" i="99"/>
  <c r="F253" i="99"/>
  <c r="F252" i="99"/>
  <c r="F251" i="99"/>
  <c r="F250" i="99"/>
  <c r="F249" i="99"/>
  <c r="F248" i="99"/>
  <c r="F247" i="99"/>
  <c r="F246" i="99"/>
  <c r="F245" i="99"/>
  <c r="F244" i="99"/>
  <c r="F243" i="99"/>
  <c r="F242" i="99"/>
  <c r="F241" i="99"/>
  <c r="F240" i="99"/>
  <c r="F239" i="99"/>
  <c r="F238" i="99"/>
  <c r="F237" i="99"/>
  <c r="F236" i="99"/>
  <c r="F235" i="99"/>
  <c r="F234" i="99"/>
  <c r="F233" i="99"/>
  <c r="F232" i="99"/>
  <c r="F231" i="99"/>
  <c r="F230" i="99"/>
  <c r="F229" i="99"/>
  <c r="F228" i="99"/>
  <c r="F227" i="99"/>
  <c r="F226" i="99"/>
  <c r="F225" i="99"/>
  <c r="F224" i="99"/>
  <c r="F223" i="99"/>
  <c r="F222" i="99"/>
  <c r="F221" i="99"/>
  <c r="F220" i="99"/>
  <c r="F219" i="99"/>
  <c r="F218" i="99"/>
  <c r="F217" i="99"/>
  <c r="F216" i="99"/>
  <c r="F215" i="99"/>
  <c r="F214" i="99"/>
  <c r="F213" i="99"/>
  <c r="F212" i="99"/>
  <c r="F211" i="99"/>
  <c r="F210" i="99"/>
  <c r="F209" i="99"/>
  <c r="F208" i="99"/>
  <c r="F207" i="99"/>
  <c r="F206" i="99"/>
  <c r="F205" i="99"/>
  <c r="F204" i="99"/>
  <c r="F203" i="99"/>
  <c r="F202" i="99"/>
  <c r="F201" i="99"/>
  <c r="F200" i="99"/>
  <c r="F199" i="99"/>
  <c r="F198" i="99"/>
  <c r="F197" i="99"/>
  <c r="F196" i="99"/>
  <c r="F195" i="99"/>
  <c r="F194" i="99"/>
  <c r="F193" i="99"/>
  <c r="F192" i="99"/>
  <c r="F191" i="99"/>
  <c r="F190" i="99"/>
  <c r="F189" i="99"/>
  <c r="F188" i="99"/>
  <c r="F187" i="99"/>
  <c r="F186" i="99"/>
  <c r="F185" i="99"/>
  <c r="F184" i="99"/>
  <c r="F183" i="99"/>
  <c r="F182" i="99"/>
  <c r="F181" i="99"/>
  <c r="F180" i="99"/>
  <c r="F179" i="99"/>
  <c r="F178" i="99"/>
  <c r="F177" i="99"/>
  <c r="F176" i="99"/>
  <c r="F175" i="99"/>
  <c r="F174" i="99"/>
  <c r="F173" i="99"/>
  <c r="F172" i="99"/>
  <c r="E167" i="98"/>
  <c r="AA135" i="98"/>
  <c r="Z135" i="98"/>
  <c r="Y135" i="98"/>
  <c r="W53" i="98"/>
  <c r="V53" i="98"/>
  <c r="U53" i="98"/>
  <c r="T53" i="98"/>
  <c r="S53" i="98"/>
  <c r="R53" i="98"/>
  <c r="Q53" i="98"/>
  <c r="P53" i="98"/>
  <c r="O53" i="98"/>
  <c r="N53" i="98"/>
  <c r="M53" i="98"/>
  <c r="X53" i="98" s="1"/>
  <c r="W52" i="98"/>
  <c r="V52" i="98"/>
  <c r="U52" i="98"/>
  <c r="T52" i="98"/>
  <c r="S52" i="98"/>
  <c r="R52" i="98"/>
  <c r="Q52" i="98"/>
  <c r="P52" i="98"/>
  <c r="O52" i="98"/>
  <c r="N52" i="98"/>
  <c r="M52" i="98"/>
  <c r="W51" i="98"/>
  <c r="V51" i="98"/>
  <c r="U51" i="98"/>
  <c r="T51" i="98"/>
  <c r="S51" i="98"/>
  <c r="R51" i="98"/>
  <c r="Q51" i="98"/>
  <c r="P51" i="98"/>
  <c r="O51" i="98"/>
  <c r="N51" i="98"/>
  <c r="M51" i="98"/>
  <c r="R10" i="98"/>
  <c r="Q10" i="98"/>
  <c r="P10" i="98"/>
  <c r="O10" i="98"/>
  <c r="N10" i="98"/>
  <c r="M10" i="98"/>
  <c r="R9" i="98"/>
  <c r="Q9" i="98"/>
  <c r="P9" i="98"/>
  <c r="O9" i="98"/>
  <c r="N9" i="98"/>
  <c r="M9" i="98"/>
  <c r="C9" i="98"/>
  <c r="R8" i="98"/>
  <c r="Q8" i="98"/>
  <c r="P8" i="98"/>
  <c r="O8" i="98"/>
  <c r="N8" i="98"/>
  <c r="M8" i="98"/>
  <c r="C6" i="98"/>
  <c r="G10" i="99"/>
  <c r="H38" i="99"/>
  <c r="L38" i="99"/>
  <c r="H30" i="99"/>
  <c r="I124" i="99"/>
  <c r="H45" i="99"/>
  <c r="M11" i="99"/>
  <c r="L22" i="99"/>
  <c r="M34" i="99"/>
  <c r="G47" i="99"/>
  <c r="G62" i="99"/>
  <c r="G80" i="99"/>
  <c r="M141" i="99"/>
  <c r="K120" i="99"/>
  <c r="I104" i="99"/>
  <c r="M154" i="99"/>
  <c r="M143" i="99"/>
  <c r="H138" i="99"/>
  <c r="I128" i="99"/>
  <c r="K122" i="99"/>
  <c r="M116" i="99"/>
  <c r="H108" i="99"/>
  <c r="I105" i="99"/>
  <c r="J102" i="99"/>
  <c r="G99" i="99"/>
  <c r="H93" i="99"/>
  <c r="I90" i="99"/>
  <c r="M86" i="99"/>
  <c r="G84" i="99"/>
  <c r="H148" i="99"/>
  <c r="K143" i="99"/>
  <c r="I141" i="99"/>
  <c r="H140" i="99"/>
  <c r="L136" i="99"/>
  <c r="K135" i="99"/>
  <c r="J134" i="99"/>
  <c r="G128" i="99"/>
  <c r="M126" i="99"/>
  <c r="K124" i="99"/>
  <c r="J123" i="99"/>
  <c r="I122" i="99"/>
  <c r="G120" i="99"/>
  <c r="M118" i="99"/>
  <c r="L117" i="99"/>
  <c r="J112" i="99"/>
  <c r="I111" i="99"/>
  <c r="H110" i="99"/>
  <c r="K108" i="99"/>
  <c r="G108" i="99"/>
  <c r="J107" i="99"/>
  <c r="I106" i="99"/>
  <c r="L105" i="99"/>
  <c r="H105" i="99"/>
  <c r="G104" i="99"/>
  <c r="J103" i="99"/>
  <c r="M102" i="99"/>
  <c r="L101" i="99"/>
  <c r="L165" i="99"/>
  <c r="H161" i="99"/>
  <c r="G152" i="99"/>
  <c r="J144" i="99"/>
  <c r="M139" i="99"/>
  <c r="L127" i="99"/>
  <c r="H123" i="99"/>
  <c r="K118" i="99"/>
  <c r="M107" i="99"/>
  <c r="K105" i="99"/>
  <c r="I103" i="99"/>
  <c r="J100" i="99"/>
  <c r="L99" i="99"/>
  <c r="M98" i="99"/>
  <c r="J94" i="99"/>
  <c r="K93" i="99"/>
  <c r="M92" i="99"/>
  <c r="I91" i="99"/>
  <c r="K90" i="99"/>
  <c r="M89" i="99"/>
  <c r="I88" i="99"/>
  <c r="K87" i="99"/>
  <c r="L86" i="99"/>
  <c r="I85" i="99"/>
  <c r="J84" i="99"/>
  <c r="L83" i="99"/>
  <c r="H82" i="99"/>
  <c r="K81" i="99"/>
  <c r="G81" i="99"/>
  <c r="M76" i="99"/>
  <c r="I76" i="99"/>
  <c r="L75" i="99"/>
  <c r="K74" i="99"/>
  <c r="G74" i="99"/>
  <c r="J73" i="99"/>
  <c r="K164" i="99"/>
  <c r="G160" i="99"/>
  <c r="J155" i="99"/>
  <c r="I143" i="99"/>
  <c r="L138" i="99"/>
  <c r="H134" i="99"/>
  <c r="G122" i="99"/>
  <c r="J117" i="99"/>
  <c r="M109" i="99"/>
  <c r="G105" i="99"/>
  <c r="L102" i="99"/>
  <c r="G101" i="99"/>
  <c r="J99" i="99"/>
  <c r="L98" i="99"/>
  <c r="G98" i="99"/>
  <c r="J93" i="99"/>
  <c r="L92" i="99"/>
  <c r="M91" i="99"/>
  <c r="J90" i="99"/>
  <c r="K89" i="99"/>
  <c r="M88" i="99"/>
  <c r="I87" i="99"/>
  <c r="K86" i="99"/>
  <c r="M85" i="99"/>
  <c r="I84" i="99"/>
  <c r="K83" i="99"/>
  <c r="L82" i="99"/>
  <c r="J81" i="99"/>
  <c r="M80" i="99"/>
  <c r="I80" i="99"/>
  <c r="H76" i="99"/>
  <c r="K75" i="99"/>
  <c r="G75" i="99"/>
  <c r="M73" i="99"/>
  <c r="I73" i="99"/>
  <c r="J163" i="99"/>
  <c r="I154" i="99"/>
  <c r="L146" i="99"/>
  <c r="H142" i="99"/>
  <c r="G130" i="99"/>
  <c r="J125" i="99"/>
  <c r="M120" i="99"/>
  <c r="G109" i="99"/>
  <c r="L106" i="99"/>
  <c r="J104" i="99"/>
  <c r="M100" i="99"/>
  <c r="G100" i="99"/>
  <c r="I99" i="99"/>
  <c r="L94" i="99"/>
  <c r="G94" i="99"/>
  <c r="I93" i="99"/>
  <c r="L91" i="99"/>
  <c r="G91" i="99"/>
  <c r="H90" i="99"/>
  <c r="L88" i="99"/>
  <c r="M87" i="99"/>
  <c r="H87" i="99"/>
  <c r="K85" i="99"/>
  <c r="M84" i="99"/>
  <c r="H84" i="99"/>
  <c r="K82" i="99"/>
  <c r="M81" i="99"/>
  <c r="I81" i="99"/>
  <c r="H80" i="99"/>
  <c r="K76" i="99"/>
  <c r="G76" i="99"/>
  <c r="M74" i="99"/>
  <c r="I74" i="99"/>
  <c r="L73" i="99"/>
  <c r="K72" i="99"/>
  <c r="G72" i="99"/>
  <c r="J71" i="99"/>
  <c r="I70" i="99"/>
  <c r="L69" i="99"/>
  <c r="H69" i="99"/>
  <c r="G68" i="99"/>
  <c r="J67" i="99"/>
  <c r="M66" i="99"/>
  <c r="L65" i="99"/>
  <c r="H65" i="99"/>
  <c r="K64" i="99"/>
  <c r="J63" i="99"/>
  <c r="M62" i="99"/>
  <c r="I62" i="99"/>
  <c r="H58" i="99"/>
  <c r="K57" i="99"/>
  <c r="G57" i="99"/>
  <c r="M55" i="99"/>
  <c r="I55" i="99"/>
  <c r="L54" i="99"/>
  <c r="K53" i="99"/>
  <c r="G53" i="99"/>
  <c r="J52" i="99"/>
  <c r="I51" i="99"/>
  <c r="L50" i="99"/>
  <c r="H50" i="99"/>
  <c r="G49" i="99"/>
  <c r="J48" i="99"/>
  <c r="M47" i="99"/>
  <c r="H9" i="99"/>
  <c r="I10" i="99"/>
  <c r="J11" i="99"/>
  <c r="H13" i="99"/>
  <c r="L13" i="99"/>
  <c r="J15" i="99"/>
  <c r="K16" i="99"/>
  <c r="H17" i="99"/>
  <c r="L17" i="99"/>
  <c r="M18" i="99"/>
  <c r="J19" i="99"/>
  <c r="G20" i="99"/>
  <c r="H21" i="99"/>
  <c r="L21" i="99"/>
  <c r="I22" i="99"/>
  <c r="J26" i="99"/>
  <c r="G27" i="99"/>
  <c r="K27" i="99"/>
  <c r="L28" i="99"/>
  <c r="I29" i="99"/>
  <c r="M29" i="99"/>
  <c r="G31" i="99"/>
  <c r="K31" i="99"/>
  <c r="H32" i="99"/>
  <c r="I33" i="99"/>
  <c r="M33" i="99"/>
  <c r="J34" i="99"/>
  <c r="K35" i="99"/>
  <c r="H36" i="99"/>
  <c r="L36" i="99"/>
  <c r="M37" i="99"/>
  <c r="J38" i="99"/>
  <c r="G39" i="99"/>
  <c r="H40" i="99"/>
  <c r="L40" i="99"/>
  <c r="I44" i="99"/>
  <c r="J45" i="99"/>
  <c r="G46" i="99"/>
  <c r="K46" i="99"/>
  <c r="L47" i="99"/>
  <c r="K48" i="99"/>
  <c r="I49" i="99"/>
  <c r="G50" i="99"/>
  <c r="M50" i="99"/>
  <c r="K51" i="99"/>
  <c r="I52" i="99"/>
  <c r="H53" i="99"/>
  <c r="M53" i="99"/>
  <c r="K54" i="99"/>
  <c r="J55" i="99"/>
  <c r="H56" i="99"/>
  <c r="M56" i="99"/>
  <c r="L57" i="99"/>
  <c r="J58" i="99"/>
  <c r="H62" i="99"/>
  <c r="G63" i="99"/>
  <c r="L63" i="99"/>
  <c r="J64" i="99"/>
  <c r="I65" i="99"/>
  <c r="G66" i="99"/>
  <c r="L66" i="99"/>
  <c r="K67" i="99"/>
  <c r="I68" i="99"/>
  <c r="G69" i="99"/>
  <c r="M69" i="99"/>
  <c r="K70" i="99"/>
  <c r="I71" i="99"/>
  <c r="H72" i="99"/>
  <c r="G73" i="99"/>
  <c r="I75" i="99"/>
  <c r="K80" i="99"/>
  <c r="H83" i="99"/>
  <c r="H86" i="99"/>
  <c r="I89" i="99"/>
  <c r="I92" i="99"/>
  <c r="I98" i="99"/>
  <c r="K101" i="99"/>
  <c r="H112" i="99"/>
  <c r="J136" i="99"/>
  <c r="L157" i="99"/>
  <c r="G9" i="99"/>
  <c r="G8" i="99"/>
  <c r="L9" i="99"/>
  <c r="M10" i="99"/>
  <c r="G12" i="99"/>
  <c r="H8" i="99"/>
  <c r="I9" i="99"/>
  <c r="M9" i="99"/>
  <c r="J10" i="99"/>
  <c r="G11" i="99"/>
  <c r="K11" i="99"/>
  <c r="H12" i="99"/>
  <c r="L12" i="99"/>
  <c r="I13" i="99"/>
  <c r="M13" i="99"/>
  <c r="G15" i="99"/>
  <c r="H16" i="99"/>
  <c r="L16" i="99"/>
  <c r="I17" i="99"/>
  <c r="M17" i="99"/>
  <c r="J18" i="99"/>
  <c r="G19" i="99"/>
  <c r="K19" i="99"/>
  <c r="H20" i="99"/>
  <c r="L20" i="99"/>
  <c r="I21" i="99"/>
  <c r="M21" i="99"/>
  <c r="J22" i="99"/>
  <c r="G26" i="99"/>
  <c r="K26" i="99"/>
  <c r="H27" i="99"/>
  <c r="L27" i="99"/>
  <c r="I28" i="99"/>
  <c r="M28" i="99"/>
  <c r="J29" i="99"/>
  <c r="G30" i="99"/>
  <c r="K30" i="99"/>
  <c r="H31" i="99"/>
  <c r="L31" i="99"/>
  <c r="I32" i="99"/>
  <c r="M32" i="99"/>
  <c r="J33" i="99"/>
  <c r="G34" i="99"/>
  <c r="K34" i="99"/>
  <c r="H35" i="99"/>
  <c r="L35" i="99"/>
  <c r="I36" i="99"/>
  <c r="M36" i="99"/>
  <c r="J37" i="99"/>
  <c r="G38" i="99"/>
  <c r="K38" i="99"/>
  <c r="H39" i="99"/>
  <c r="L39" i="99"/>
  <c r="I40" i="99"/>
  <c r="M40" i="99"/>
  <c r="J44" i="99"/>
  <c r="G45" i="99"/>
  <c r="K45" i="99"/>
  <c r="H46" i="99"/>
  <c r="L46" i="99"/>
  <c r="I47" i="99"/>
  <c r="G48" i="99"/>
  <c r="L48" i="99"/>
  <c r="J49" i="99"/>
  <c r="I50" i="99"/>
  <c r="G51" i="99"/>
  <c r="L51" i="99"/>
  <c r="K52" i="99"/>
  <c r="I53" i="99"/>
  <c r="G54" i="99"/>
  <c r="M54" i="99"/>
  <c r="K55" i="99"/>
  <c r="I56" i="99"/>
  <c r="H57" i="99"/>
  <c r="M57" i="99"/>
  <c r="K58" i="99"/>
  <c r="J62" i="99"/>
  <c r="H63" i="99"/>
  <c r="M63" i="99"/>
  <c r="L64" i="99"/>
  <c r="J65" i="99"/>
  <c r="H66" i="99"/>
  <c r="G67" i="99"/>
  <c r="L67" i="99"/>
  <c r="J68" i="99"/>
  <c r="I69" i="99"/>
  <c r="G70" i="99"/>
  <c r="L70" i="99"/>
  <c r="K71" i="99"/>
  <c r="I72" i="99"/>
  <c r="K73" i="99"/>
  <c r="M75" i="99"/>
  <c r="H81" i="99"/>
  <c r="M83" i="99"/>
  <c r="G87" i="99"/>
  <c r="G90" i="99"/>
  <c r="G93" i="99"/>
  <c r="H99" i="99"/>
  <c r="M103" i="99"/>
  <c r="L119" i="99"/>
  <c r="G141" i="99"/>
  <c r="I162" i="99"/>
  <c r="G166" i="99"/>
  <c r="J153" i="99"/>
  <c r="K154" i="99"/>
  <c r="L155" i="99"/>
  <c r="M156" i="99"/>
  <c r="G158" i="99"/>
  <c r="H159" i="99"/>
  <c r="I160" i="99"/>
  <c r="J161" i="99"/>
  <c r="K162" i="99"/>
  <c r="L163" i="99"/>
  <c r="M164" i="99"/>
  <c r="L166" i="99"/>
  <c r="H166" i="99"/>
  <c r="K165" i="99"/>
  <c r="G165" i="99"/>
  <c r="J164" i="99"/>
  <c r="M163" i="99"/>
  <c r="I163" i="99"/>
  <c r="L162" i="99"/>
  <c r="H162" i="99"/>
  <c r="K161" i="99"/>
  <c r="G161" i="99"/>
  <c r="J160" i="99"/>
  <c r="M159" i="99"/>
  <c r="I159" i="99"/>
  <c r="L158" i="99"/>
  <c r="H158" i="99"/>
  <c r="K157" i="99"/>
  <c r="G157" i="99"/>
  <c r="J156" i="99"/>
  <c r="M155" i="99"/>
  <c r="I155" i="99"/>
  <c r="L154" i="99"/>
  <c r="H154" i="99"/>
  <c r="K153" i="99"/>
  <c r="G153" i="99"/>
  <c r="J152" i="99"/>
  <c r="M148" i="99"/>
  <c r="I148" i="99"/>
  <c r="L147" i="99"/>
  <c r="H147" i="99"/>
  <c r="K146" i="99"/>
  <c r="G146" i="99"/>
  <c r="J145" i="99"/>
  <c r="M144" i="99"/>
  <c r="I144" i="99"/>
  <c r="L143" i="99"/>
  <c r="H143" i="99"/>
  <c r="K142" i="99"/>
  <c r="G142" i="99"/>
  <c r="J141" i="99"/>
  <c r="M140" i="99"/>
  <c r="I140" i="99"/>
  <c r="L139" i="99"/>
  <c r="H139" i="99"/>
  <c r="K138" i="99"/>
  <c r="G138" i="99"/>
  <c r="J137" i="99"/>
  <c r="M136" i="99"/>
  <c r="I136" i="99"/>
  <c r="L135" i="99"/>
  <c r="H135" i="99"/>
  <c r="K134" i="99"/>
  <c r="G134" i="99"/>
  <c r="J130" i="99"/>
  <c r="M129" i="99"/>
  <c r="I129" i="99"/>
  <c r="L128" i="99"/>
  <c r="H128" i="99"/>
  <c r="K127" i="99"/>
  <c r="G127" i="99"/>
  <c r="J126" i="99"/>
  <c r="M125" i="99"/>
  <c r="I125" i="99"/>
  <c r="L124" i="99"/>
  <c r="H124" i="99"/>
  <c r="K123" i="99"/>
  <c r="G123" i="99"/>
  <c r="J122" i="99"/>
  <c r="M121" i="99"/>
  <c r="I121" i="99"/>
  <c r="L120" i="99"/>
  <c r="H120" i="99"/>
  <c r="K119" i="99"/>
  <c r="G119" i="99"/>
  <c r="J118" i="99"/>
  <c r="M117" i="99"/>
  <c r="I117" i="99"/>
  <c r="L116" i="99"/>
  <c r="H116" i="99"/>
  <c r="K112" i="99"/>
  <c r="G112" i="99"/>
  <c r="J111" i="99"/>
  <c r="M110" i="99"/>
  <c r="I110" i="99"/>
  <c r="L109" i="99"/>
  <c r="J166" i="99"/>
  <c r="M165" i="99"/>
  <c r="I165" i="99"/>
  <c r="L164" i="99"/>
  <c r="H164" i="99"/>
  <c r="K163" i="99"/>
  <c r="G163" i="99"/>
  <c r="J162" i="99"/>
  <c r="M161" i="99"/>
  <c r="I161" i="99"/>
  <c r="L160" i="99"/>
  <c r="H160" i="99"/>
  <c r="K159" i="99"/>
  <c r="G159" i="99"/>
  <c r="J158" i="99"/>
  <c r="M157" i="99"/>
  <c r="I157" i="99"/>
  <c r="L156" i="99"/>
  <c r="H156" i="99"/>
  <c r="K155" i="99"/>
  <c r="G155" i="99"/>
  <c r="J154" i="99"/>
  <c r="M153" i="99"/>
  <c r="I153" i="99"/>
  <c r="L152" i="99"/>
  <c r="H152" i="99"/>
  <c r="K148" i="99"/>
  <c r="G148" i="99"/>
  <c r="J147" i="99"/>
  <c r="M146" i="99"/>
  <c r="I146" i="99"/>
  <c r="L145" i="99"/>
  <c r="H145" i="99"/>
  <c r="K144" i="99"/>
  <c r="G144" i="99"/>
  <c r="J143" i="99"/>
  <c r="M142" i="99"/>
  <c r="I142" i="99"/>
  <c r="L141" i="99"/>
  <c r="H141" i="99"/>
  <c r="K140" i="99"/>
  <c r="G140" i="99"/>
  <c r="J139" i="99"/>
  <c r="M138" i="99"/>
  <c r="I138" i="99"/>
  <c r="L137" i="99"/>
  <c r="H137" i="99"/>
  <c r="K136" i="99"/>
  <c r="G136" i="99"/>
  <c r="J135" i="99"/>
  <c r="M134" i="99"/>
  <c r="I134" i="99"/>
  <c r="L130" i="99"/>
  <c r="H130" i="99"/>
  <c r="K129" i="99"/>
  <c r="G129" i="99"/>
  <c r="J128" i="99"/>
  <c r="M127" i="99"/>
  <c r="I127" i="99"/>
  <c r="L126" i="99"/>
  <c r="H126" i="99"/>
  <c r="K125" i="99"/>
  <c r="G125" i="99"/>
  <c r="J124" i="99"/>
  <c r="M123" i="99"/>
  <c r="I123" i="99"/>
  <c r="L122" i="99"/>
  <c r="H122" i="99"/>
  <c r="K121" i="99"/>
  <c r="G121" i="99"/>
  <c r="J120" i="99"/>
  <c r="M119" i="99"/>
  <c r="I119" i="99"/>
  <c r="L118" i="99"/>
  <c r="H118" i="99"/>
  <c r="K117" i="99"/>
  <c r="G117" i="99"/>
  <c r="J116" i="99"/>
  <c r="M112" i="99"/>
  <c r="I112" i="99"/>
  <c r="L111" i="99"/>
  <c r="H111" i="99"/>
  <c r="K110" i="99"/>
  <c r="G110" i="99"/>
  <c r="J109" i="99"/>
  <c r="G154" i="99"/>
  <c r="H155" i="99"/>
  <c r="I156" i="99"/>
  <c r="J157" i="99"/>
  <c r="K158" i="99"/>
  <c r="L159" i="99"/>
  <c r="M160" i="99"/>
  <c r="G162" i="99"/>
  <c r="H163" i="99"/>
  <c r="I164" i="99"/>
  <c r="J165" i="99"/>
  <c r="K166" i="99"/>
  <c r="O7" i="98"/>
  <c r="CU10" i="97"/>
  <c r="CT10" i="97" s="1"/>
  <c r="CS10" i="97" s="1"/>
  <c r="CR10" i="97" s="1"/>
  <c r="CQ10" i="97" s="1"/>
  <c r="CU11" i="97"/>
  <c r="CT11" i="97" s="1"/>
  <c r="CS11" i="97" s="1"/>
  <c r="CR11" i="97" s="1"/>
  <c r="CQ11" i="97" s="1"/>
  <c r="CP11" i="97" s="1"/>
  <c r="CO11" i="97" s="1"/>
  <c r="CU12" i="97"/>
  <c r="CT12" i="97" s="1"/>
  <c r="CS12" i="97" s="1"/>
  <c r="CR12" i="97" s="1"/>
  <c r="CQ12" i="97" s="1"/>
  <c r="CP12" i="97" s="1"/>
  <c r="CO12" i="97" s="1"/>
  <c r="CU13" i="97"/>
  <c r="CT13" i="97" s="1"/>
  <c r="CS13" i="97" s="1"/>
  <c r="CR13" i="97" s="1"/>
  <c r="CQ13" i="97" s="1"/>
  <c r="CP13" i="97" s="1"/>
  <c r="CO13" i="97" s="1"/>
  <c r="CU14" i="97"/>
  <c r="CT14" i="97" s="1"/>
  <c r="CS14" i="97" s="1"/>
  <c r="CR14" i="97" s="1"/>
  <c r="CQ14" i="97" s="1"/>
  <c r="CP14" i="97" s="1"/>
  <c r="CO14" i="97" s="1"/>
  <c r="CU15" i="97"/>
  <c r="CT15" i="97" s="1"/>
  <c r="CS15" i="97" s="1"/>
  <c r="CR15" i="97" s="1"/>
  <c r="CU17" i="97"/>
  <c r="CT17" i="97" s="1"/>
  <c r="CS17" i="97" s="1"/>
  <c r="CR17" i="97" s="1"/>
  <c r="CQ17" i="97" s="1"/>
  <c r="CP17" i="97" s="1"/>
  <c r="CO17" i="97" s="1"/>
  <c r="CU18" i="97"/>
  <c r="CT18" i="97" s="1"/>
  <c r="CS18" i="97" s="1"/>
  <c r="CR18" i="97" s="1"/>
  <c r="CQ18" i="97" s="1"/>
  <c r="CP18" i="97" s="1"/>
  <c r="CO18" i="97" s="1"/>
  <c r="CU19" i="97"/>
  <c r="CT19" i="97" s="1"/>
  <c r="CS19" i="97" s="1"/>
  <c r="CR19" i="97" s="1"/>
  <c r="CQ19" i="97" s="1"/>
  <c r="CP19" i="97" s="1"/>
  <c r="CO19" i="97" s="1"/>
  <c r="CU20" i="97"/>
  <c r="CT20" i="97" s="1"/>
  <c r="CS20" i="97" s="1"/>
  <c r="CR20" i="97" s="1"/>
  <c r="CU21" i="97"/>
  <c r="CT21" i="97" s="1"/>
  <c r="CS21" i="97" s="1"/>
  <c r="CR21" i="97" s="1"/>
  <c r="CQ21" i="97" s="1"/>
  <c r="CP21" i="97" s="1"/>
  <c r="CO21" i="97" s="1"/>
  <c r="CU22" i="97"/>
  <c r="CT22" i="97" s="1"/>
  <c r="CS22" i="97" s="1"/>
  <c r="CR22" i="97" s="1"/>
  <c r="CQ22" i="97" s="1"/>
  <c r="CP22" i="97" s="1"/>
  <c r="CO22" i="97" s="1"/>
  <c r="CU23" i="97"/>
  <c r="CT23" i="97" s="1"/>
  <c r="CU24" i="97"/>
  <c r="CT24" i="97" s="1"/>
  <c r="CS24" i="97" s="1"/>
  <c r="CR24" i="97" s="1"/>
  <c r="CQ24" i="97" s="1"/>
  <c r="CP24" i="97" s="1"/>
  <c r="CO24" i="97" s="1"/>
  <c r="CU25" i="97"/>
  <c r="CT25" i="97" s="1"/>
  <c r="CS25" i="97" s="1"/>
  <c r="CR25" i="97" s="1"/>
  <c r="CQ25" i="97" s="1"/>
  <c r="CP25" i="97" s="1"/>
  <c r="CO25" i="97" s="1"/>
  <c r="CU26" i="97"/>
  <c r="CT26" i="97" s="1"/>
  <c r="CS26" i="97" s="1"/>
  <c r="CR26" i="97" s="1"/>
  <c r="CQ26" i="97" s="1"/>
  <c r="CP26" i="97" s="1"/>
  <c r="CO26" i="97" s="1"/>
  <c r="CU27" i="97"/>
  <c r="CT27" i="97" s="1"/>
  <c r="CS27" i="97" s="1"/>
  <c r="CR27" i="97" s="1"/>
  <c r="CQ27" i="97" s="1"/>
  <c r="CP27" i="97" s="1"/>
  <c r="CO27" i="97" s="1"/>
  <c r="CU28" i="97"/>
  <c r="CT28" i="97" s="1"/>
  <c r="CS28" i="97" s="1"/>
  <c r="CR28" i="97" s="1"/>
  <c r="CQ28" i="97" s="1"/>
  <c r="CP28" i="97" s="1"/>
  <c r="CO28" i="97" s="1"/>
  <c r="CU29" i="97"/>
  <c r="CT29" i="97" s="1"/>
  <c r="CS29" i="97" s="1"/>
  <c r="CR29" i="97" s="1"/>
  <c r="CQ29" i="97" s="1"/>
  <c r="CP29" i="97" s="1"/>
  <c r="CO29" i="97" s="1"/>
  <c r="CU30" i="97"/>
  <c r="CT30" i="97" s="1"/>
  <c r="CS30" i="97" s="1"/>
  <c r="CR30" i="97" s="1"/>
  <c r="CQ30" i="97" s="1"/>
  <c r="CP30" i="97" s="1"/>
  <c r="CO30" i="97" s="1"/>
  <c r="CU31" i="97"/>
  <c r="CT31" i="97" s="1"/>
  <c r="CS31" i="97" s="1"/>
  <c r="CR31" i="97" s="1"/>
  <c r="CQ31" i="97" s="1"/>
  <c r="CP31" i="97" s="1"/>
  <c r="CO31" i="97" s="1"/>
  <c r="CU32" i="97"/>
  <c r="CT32" i="97" s="1"/>
  <c r="CS32" i="97" s="1"/>
  <c r="CR32" i="97" s="1"/>
  <c r="CQ32" i="97" s="1"/>
  <c r="CP32" i="97" s="1"/>
  <c r="CO32" i="97" s="1"/>
  <c r="CU34" i="97"/>
  <c r="CT34" i="97" s="1"/>
  <c r="CS34" i="97" s="1"/>
  <c r="CR34" i="97" s="1"/>
  <c r="CQ34" i="97" s="1"/>
  <c r="CP34" i="97" s="1"/>
  <c r="CO34" i="97" s="1"/>
  <c r="CU35" i="97"/>
  <c r="CT35" i="97" s="1"/>
  <c r="CS35" i="97" s="1"/>
  <c r="CR35" i="97" s="1"/>
  <c r="CQ35" i="97" s="1"/>
  <c r="CP35" i="97" s="1"/>
  <c r="CO35" i="97" s="1"/>
  <c r="CU36" i="97"/>
  <c r="CT36" i="97" s="1"/>
  <c r="CS36" i="97" s="1"/>
  <c r="CR36" i="97" s="1"/>
  <c r="CQ36" i="97" s="1"/>
  <c r="CP36" i="97" s="1"/>
  <c r="CO36" i="97" s="1"/>
  <c r="CU37" i="97"/>
  <c r="CT37" i="97" s="1"/>
  <c r="CS37" i="97" s="1"/>
  <c r="CR37" i="97" s="1"/>
  <c r="CQ37" i="97" s="1"/>
  <c r="CP37" i="97" s="1"/>
  <c r="CO37" i="97" s="1"/>
  <c r="CU38" i="97"/>
  <c r="CT38" i="97" s="1"/>
  <c r="CU39" i="97"/>
  <c r="CT39" i="97" s="1"/>
  <c r="CS39" i="97" s="1"/>
  <c r="CR39" i="97" s="1"/>
  <c r="CQ39" i="97" s="1"/>
  <c r="CP39" i="97" s="1"/>
  <c r="CO39" i="97" s="1"/>
  <c r="CU40" i="97"/>
  <c r="CT40" i="97" s="1"/>
  <c r="CS40" i="97" s="1"/>
  <c r="CR40" i="97" s="1"/>
  <c r="CQ40" i="97" s="1"/>
  <c r="CP40" i="97" s="1"/>
  <c r="CO40" i="97" s="1"/>
  <c r="CU41" i="97"/>
  <c r="CT41" i="97" s="1"/>
  <c r="CS41" i="97" s="1"/>
  <c r="CR41" i="97" s="1"/>
  <c r="CQ41" i="97" s="1"/>
  <c r="CP41" i="97" s="1"/>
  <c r="CO41" i="97" s="1"/>
  <c r="CU42" i="97"/>
  <c r="CT42" i="97" s="1"/>
  <c r="CS42" i="97" s="1"/>
  <c r="CR42" i="97" s="1"/>
  <c r="CQ42" i="97" s="1"/>
  <c r="CP42" i="97" s="1"/>
  <c r="CO42" i="97" s="1"/>
  <c r="CU43" i="97"/>
  <c r="CT43" i="97" s="1"/>
  <c r="CS43" i="97" s="1"/>
  <c r="CR43" i="97" s="1"/>
  <c r="CQ43" i="97" s="1"/>
  <c r="CP43" i="97" s="1"/>
  <c r="CO43" i="97" s="1"/>
  <c r="CU44" i="97"/>
  <c r="CT44" i="97" s="1"/>
  <c r="CS44" i="97" s="1"/>
  <c r="CR44" i="97" s="1"/>
  <c r="CQ44" i="97" s="1"/>
  <c r="CP44" i="97" s="1"/>
  <c r="CO44" i="97" s="1"/>
  <c r="CU45" i="97"/>
  <c r="CT45" i="97" s="1"/>
  <c r="CS45" i="97" s="1"/>
  <c r="CR45" i="97" s="1"/>
  <c r="CQ45" i="97" s="1"/>
  <c r="CP45" i="97" s="1"/>
  <c r="CO45" i="97" s="1"/>
  <c r="CU46" i="97"/>
  <c r="CT46" i="97" s="1"/>
  <c r="CS46" i="97" s="1"/>
  <c r="CR46" i="97" s="1"/>
  <c r="CQ46" i="97" s="1"/>
  <c r="CP46" i="97" s="1"/>
  <c r="CO46" i="97" s="1"/>
  <c r="CU47" i="97"/>
  <c r="CT47" i="97" s="1"/>
  <c r="CS47" i="97" s="1"/>
  <c r="CR47" i="97" s="1"/>
  <c r="CQ47" i="97" s="1"/>
  <c r="CU48" i="97"/>
  <c r="CT48" i="97" s="1"/>
  <c r="CS48" i="97" s="1"/>
  <c r="CR48" i="97" s="1"/>
  <c r="CQ48" i="97" s="1"/>
  <c r="CP48" i="97" s="1"/>
  <c r="CO48" i="97" s="1"/>
  <c r="CU49" i="97"/>
  <c r="CT49" i="97" s="1"/>
  <c r="CS49" i="97" s="1"/>
  <c r="CR49" i="97" s="1"/>
  <c r="CQ49" i="97" s="1"/>
  <c r="CP49" i="97" s="1"/>
  <c r="CO49" i="97" s="1"/>
  <c r="CU50" i="97"/>
  <c r="CT50" i="97" s="1"/>
  <c r="CS50" i="97" s="1"/>
  <c r="CR50" i="97" s="1"/>
  <c r="CQ50" i="97" s="1"/>
  <c r="CP50" i="97" s="1"/>
  <c r="CO50" i="97" s="1"/>
  <c r="CU51" i="97"/>
  <c r="CT51" i="97" s="1"/>
  <c r="CU52" i="97"/>
  <c r="CT52" i="97" s="1"/>
  <c r="CS52" i="97" s="1"/>
  <c r="CR52" i="97" s="1"/>
  <c r="CQ52" i="97" s="1"/>
  <c r="CP52" i="97" s="1"/>
  <c r="CO52" i="97" s="1"/>
  <c r="CU53" i="97"/>
  <c r="CT53" i="97" s="1"/>
  <c r="CS53" i="97" s="1"/>
  <c r="CR53" i="97" s="1"/>
  <c r="CQ53" i="97" s="1"/>
  <c r="CP53" i="97" s="1"/>
  <c r="CO53" i="97" s="1"/>
  <c r="CU54" i="97"/>
  <c r="CT54" i="97" s="1"/>
  <c r="CS54" i="97" s="1"/>
  <c r="CR54" i="97" s="1"/>
  <c r="CQ54" i="97" s="1"/>
  <c r="CP54" i="97" s="1"/>
  <c r="CO54" i="97" s="1"/>
  <c r="CU55" i="97"/>
  <c r="CT55" i="97" s="1"/>
  <c r="CS55" i="97" s="1"/>
  <c r="CR55" i="97" s="1"/>
  <c r="CQ55" i="97" s="1"/>
  <c r="CP55" i="97" s="1"/>
  <c r="CO55" i="97" s="1"/>
  <c r="CU56" i="97"/>
  <c r="CT56" i="97" s="1"/>
  <c r="CS56" i="97" s="1"/>
  <c r="CU57" i="97"/>
  <c r="CT57" i="97" s="1"/>
  <c r="CS57" i="97" s="1"/>
  <c r="CR57" i="97" s="1"/>
  <c r="CQ57" i="97" s="1"/>
  <c r="CP57" i="97" s="1"/>
  <c r="CO57" i="97" s="1"/>
  <c r="CU58" i="97"/>
  <c r="CT58" i="97" s="1"/>
  <c r="CS58" i="97" s="1"/>
  <c r="CR58" i="97" s="1"/>
  <c r="CQ58" i="97" s="1"/>
  <c r="CP58" i="97" s="1"/>
  <c r="CO58" i="97" s="1"/>
  <c r="CU59" i="97"/>
  <c r="CT59" i="97" s="1"/>
  <c r="CS59" i="97" s="1"/>
  <c r="CR59" i="97" s="1"/>
  <c r="CQ59" i="97" s="1"/>
  <c r="CP59" i="97" s="1"/>
  <c r="CO59" i="97" s="1"/>
  <c r="CU60" i="97"/>
  <c r="CT60" i="97" s="1"/>
  <c r="CS60" i="97" s="1"/>
  <c r="CR60" i="97" s="1"/>
  <c r="CQ60" i="97" s="1"/>
  <c r="CP60" i="97" s="1"/>
  <c r="CO60" i="97" s="1"/>
  <c r="CU61" i="97"/>
  <c r="CT61" i="97" s="1"/>
  <c r="CS61" i="97" s="1"/>
  <c r="CR61" i="97" s="1"/>
  <c r="CQ61" i="97" s="1"/>
  <c r="CP61" i="97" s="1"/>
  <c r="CO61" i="97" s="1"/>
  <c r="CU62" i="97"/>
  <c r="CT62" i="97" s="1"/>
  <c r="CS62" i="97" s="1"/>
  <c r="CR62" i="97" s="1"/>
  <c r="CQ62" i="97" s="1"/>
  <c r="CP62" i="97" s="1"/>
  <c r="CO62" i="97" s="1"/>
  <c r="CU63" i="97"/>
  <c r="CT63" i="97" s="1"/>
  <c r="CS63" i="97" s="1"/>
  <c r="CR63" i="97" s="1"/>
  <c r="CQ63" i="97" s="1"/>
  <c r="CP63" i="97" s="1"/>
  <c r="CO63" i="97" s="1"/>
  <c r="CU64" i="97"/>
  <c r="CT64" i="97" s="1"/>
  <c r="CS64" i="97" s="1"/>
  <c r="CR64" i="97" s="1"/>
  <c r="CQ64" i="97" s="1"/>
  <c r="CP64" i="97" s="1"/>
  <c r="CO64" i="97" s="1"/>
  <c r="CU65" i="97"/>
  <c r="CT65" i="97" s="1"/>
  <c r="CS65" i="97" s="1"/>
  <c r="CR65" i="97" s="1"/>
  <c r="CQ65" i="97" s="1"/>
  <c r="CP65" i="97" s="1"/>
  <c r="CO65" i="97" s="1"/>
  <c r="CU67" i="97"/>
  <c r="CT67" i="97" s="1"/>
  <c r="CS67" i="97" s="1"/>
  <c r="CR67" i="97" s="1"/>
  <c r="CQ67" i="97" s="1"/>
  <c r="CP67" i="97" s="1"/>
  <c r="CO67" i="97" s="1"/>
  <c r="CU68" i="97"/>
  <c r="CU69" i="97"/>
  <c r="CT69" i="97" s="1"/>
  <c r="CS69" i="97" s="1"/>
  <c r="CR69" i="97" s="1"/>
  <c r="CQ69" i="97" s="1"/>
  <c r="CP69" i="97" s="1"/>
  <c r="CO69" i="97" s="1"/>
  <c r="CU70" i="97"/>
  <c r="CT70" i="97" s="1"/>
  <c r="CS70" i="97" s="1"/>
  <c r="CR70" i="97" s="1"/>
  <c r="CQ70" i="97" s="1"/>
  <c r="CP70" i="97" s="1"/>
  <c r="CO70" i="97" s="1"/>
  <c r="CU71" i="97"/>
  <c r="CT71" i="97" s="1"/>
  <c r="CS71" i="97" s="1"/>
  <c r="CR71" i="97" s="1"/>
  <c r="CQ71" i="97" s="1"/>
  <c r="CP71" i="97" s="1"/>
  <c r="CO71" i="97" s="1"/>
  <c r="CU72" i="97"/>
  <c r="CT72" i="97" s="1"/>
  <c r="CS72" i="97" s="1"/>
  <c r="CR72" i="97" s="1"/>
  <c r="CQ72" i="97" s="1"/>
  <c r="CP72" i="97" s="1"/>
  <c r="CO72" i="97" s="1"/>
  <c r="CU73" i="97"/>
  <c r="CT73" i="97" s="1"/>
  <c r="CS73" i="97" s="1"/>
  <c r="CR73" i="97" s="1"/>
  <c r="CQ73" i="97" s="1"/>
  <c r="CP73" i="97" s="1"/>
  <c r="CO73" i="97" s="1"/>
  <c r="CU75" i="97"/>
  <c r="CT75" i="97" s="1"/>
  <c r="CS75" i="97" s="1"/>
  <c r="CR75" i="97" s="1"/>
  <c r="CQ75" i="97" s="1"/>
  <c r="CP75" i="97" s="1"/>
  <c r="CO75" i="97" s="1"/>
  <c r="CU76" i="97"/>
  <c r="CT76" i="97" s="1"/>
  <c r="CS76" i="97" s="1"/>
  <c r="CR76" i="97" s="1"/>
  <c r="CQ76" i="97" s="1"/>
  <c r="CP76" i="97" s="1"/>
  <c r="CO76" i="97" s="1"/>
  <c r="CU77" i="97"/>
  <c r="CT77" i="97" s="1"/>
  <c r="CS77" i="97" s="1"/>
  <c r="CR77" i="97" s="1"/>
  <c r="CQ77" i="97" s="1"/>
  <c r="CP77" i="97" s="1"/>
  <c r="CO77" i="97" s="1"/>
  <c r="CU78" i="97"/>
  <c r="CT78" i="97" s="1"/>
  <c r="CS78" i="97" s="1"/>
  <c r="CR78" i="97" s="1"/>
  <c r="CQ78" i="97" s="1"/>
  <c r="CP78" i="97" s="1"/>
  <c r="CO78" i="97" s="1"/>
  <c r="CU79" i="97"/>
  <c r="CT79" i="97" s="1"/>
  <c r="CS79" i="97" s="1"/>
  <c r="CR79" i="97" s="1"/>
  <c r="CQ79" i="97" s="1"/>
  <c r="CP79" i="97" s="1"/>
  <c r="CO79" i="97" s="1"/>
  <c r="CU80" i="97"/>
  <c r="CT80" i="97" s="1"/>
  <c r="CS80" i="97" s="1"/>
  <c r="CR80" i="97" s="1"/>
  <c r="CQ80" i="97" s="1"/>
  <c r="CP80" i="97" s="1"/>
  <c r="CO80" i="97" s="1"/>
  <c r="CU81" i="97"/>
  <c r="CT81" i="97" s="1"/>
  <c r="CS81" i="97" s="1"/>
  <c r="CR81" i="97" s="1"/>
  <c r="CQ81" i="97" s="1"/>
  <c r="CP81" i="97" s="1"/>
  <c r="CO81" i="97" s="1"/>
  <c r="CU82" i="97"/>
  <c r="CT82" i="97" s="1"/>
  <c r="CS82" i="97" s="1"/>
  <c r="CR82" i="97" s="1"/>
  <c r="CQ82" i="97" s="1"/>
  <c r="CP82" i="97" s="1"/>
  <c r="CO82" i="97" s="1"/>
  <c r="CU83" i="97"/>
  <c r="CT83" i="97" s="1"/>
  <c r="CU33" i="97"/>
  <c r="CT33" i="97" s="1"/>
  <c r="CS33" i="97" s="1"/>
  <c r="CR33" i="97" s="1"/>
  <c r="CQ33" i="97" s="1"/>
  <c r="CP33" i="97" s="1"/>
  <c r="CO33" i="97" s="1"/>
  <c r="X73" i="97"/>
  <c r="W73" i="97" s="1"/>
  <c r="V73" i="97" s="1"/>
  <c r="U73" i="97" s="1"/>
  <c r="T73" i="97" s="1"/>
  <c r="S73" i="97" s="1"/>
  <c r="R73" i="97" s="1"/>
  <c r="BB11" i="97"/>
  <c r="BA11" i="97" s="1"/>
  <c r="AZ11" i="97" s="1"/>
  <c r="AY11" i="97" s="1"/>
  <c r="AX11" i="97" s="1"/>
  <c r="AW11" i="97" s="1"/>
  <c r="AV11" i="97" s="1"/>
  <c r="BB12" i="97"/>
  <c r="BA12" i="97" s="1"/>
  <c r="AZ12" i="97" s="1"/>
  <c r="AY12" i="97" s="1"/>
  <c r="AX12" i="97" s="1"/>
  <c r="AW12" i="97" s="1"/>
  <c r="AV12" i="97" s="1"/>
  <c r="BB13" i="97"/>
  <c r="BA13" i="97" s="1"/>
  <c r="AZ13" i="97" s="1"/>
  <c r="AY13" i="97" s="1"/>
  <c r="AX13" i="97" s="1"/>
  <c r="AW13" i="97" s="1"/>
  <c r="AV13" i="97" s="1"/>
  <c r="BB14" i="97"/>
  <c r="BA14" i="97" s="1"/>
  <c r="AZ14" i="97" s="1"/>
  <c r="AY14" i="97" s="1"/>
  <c r="AX14" i="97" s="1"/>
  <c r="AW14" i="97" s="1"/>
  <c r="AV14" i="97" s="1"/>
  <c r="BB15" i="97"/>
  <c r="BA15" i="97" s="1"/>
  <c r="AZ15" i="97" s="1"/>
  <c r="AY15" i="97" s="1"/>
  <c r="AX15" i="97" s="1"/>
  <c r="AW15" i="97" s="1"/>
  <c r="AV15" i="97" s="1"/>
  <c r="BB16" i="97"/>
  <c r="BA16" i="97" s="1"/>
  <c r="AZ16" i="97" s="1"/>
  <c r="AY16" i="97" s="1"/>
  <c r="AX16" i="97" s="1"/>
  <c r="AW16" i="97" s="1"/>
  <c r="AV16" i="97" s="1"/>
  <c r="BB17" i="97"/>
  <c r="BA17" i="97" s="1"/>
  <c r="AZ17" i="97" s="1"/>
  <c r="AY17" i="97" s="1"/>
  <c r="BB18" i="97"/>
  <c r="BA18" i="97" s="1"/>
  <c r="AZ18" i="97" s="1"/>
  <c r="AY18" i="97" s="1"/>
  <c r="AX18" i="97" s="1"/>
  <c r="AW18" i="97" s="1"/>
  <c r="AV18" i="97" s="1"/>
  <c r="BB19" i="97"/>
  <c r="BA19" i="97" s="1"/>
  <c r="AZ19" i="97" s="1"/>
  <c r="AY19" i="97" s="1"/>
  <c r="AX19" i="97" s="1"/>
  <c r="AW19" i="97" s="1"/>
  <c r="AV19" i="97" s="1"/>
  <c r="BB20" i="97"/>
  <c r="BA20" i="97" s="1"/>
  <c r="AZ20" i="97" s="1"/>
  <c r="AY20" i="97" s="1"/>
  <c r="AX20" i="97" s="1"/>
  <c r="AW20" i="97" s="1"/>
  <c r="AV20" i="97" s="1"/>
  <c r="BB21" i="97"/>
  <c r="BA21" i="97" s="1"/>
  <c r="AZ21" i="97" s="1"/>
  <c r="AY21" i="97" s="1"/>
  <c r="AX21" i="97" s="1"/>
  <c r="AW21" i="97" s="1"/>
  <c r="AV21" i="97" s="1"/>
  <c r="BB22" i="97"/>
  <c r="BA22" i="97" s="1"/>
  <c r="AZ22" i="97" s="1"/>
  <c r="AY22" i="97" s="1"/>
  <c r="AX22" i="97" s="1"/>
  <c r="AW22" i="97" s="1"/>
  <c r="AV22" i="97" s="1"/>
  <c r="BB23" i="97"/>
  <c r="BA23" i="97" s="1"/>
  <c r="AZ23" i="97" s="1"/>
  <c r="AY23" i="97" s="1"/>
  <c r="AX23" i="97" s="1"/>
  <c r="AW23" i="97" s="1"/>
  <c r="AV23" i="97" s="1"/>
  <c r="BB24" i="97"/>
  <c r="BA24" i="97" s="1"/>
  <c r="BB25" i="97"/>
  <c r="BA25" i="97" s="1"/>
  <c r="AZ25" i="97" s="1"/>
  <c r="AY25" i="97" s="1"/>
  <c r="AX25" i="97" s="1"/>
  <c r="AW25" i="97" s="1"/>
  <c r="BB26" i="97"/>
  <c r="BA26" i="97" s="1"/>
  <c r="AZ26" i="97" s="1"/>
  <c r="AY26" i="97" s="1"/>
  <c r="AX26" i="97" s="1"/>
  <c r="AW26" i="97" s="1"/>
  <c r="AV26" i="97" s="1"/>
  <c r="BB27" i="97"/>
  <c r="BA27" i="97" s="1"/>
  <c r="AZ27" i="97" s="1"/>
  <c r="AY27" i="97" s="1"/>
  <c r="AX27" i="97" s="1"/>
  <c r="AW27" i="97" s="1"/>
  <c r="AV27" i="97" s="1"/>
  <c r="BB28" i="97"/>
  <c r="BA28" i="97" s="1"/>
  <c r="AZ28" i="97" s="1"/>
  <c r="AY28" i="97" s="1"/>
  <c r="AX28" i="97" s="1"/>
  <c r="AW28" i="97" s="1"/>
  <c r="AV28" i="97" s="1"/>
  <c r="BB29" i="97"/>
  <c r="BA29" i="97" s="1"/>
  <c r="AZ29" i="97" s="1"/>
  <c r="AY29" i="97" s="1"/>
  <c r="AX29" i="97" s="1"/>
  <c r="AW29" i="97" s="1"/>
  <c r="AV29" i="97" s="1"/>
  <c r="BB30" i="97"/>
  <c r="BA30" i="97" s="1"/>
  <c r="AZ30" i="97" s="1"/>
  <c r="AY30" i="97" s="1"/>
  <c r="AX30" i="97" s="1"/>
  <c r="AW30" i="97" s="1"/>
  <c r="AV30" i="97" s="1"/>
  <c r="BB31" i="97"/>
  <c r="BA31" i="97" s="1"/>
  <c r="AZ31" i="97" s="1"/>
  <c r="AY31" i="97" s="1"/>
  <c r="AX31" i="97" s="1"/>
  <c r="AW31" i="97" s="1"/>
  <c r="AV31" i="97" s="1"/>
  <c r="BB32" i="97"/>
  <c r="BA32" i="97" s="1"/>
  <c r="AZ32" i="97" s="1"/>
  <c r="AY32" i="97" s="1"/>
  <c r="AX32" i="97" s="1"/>
  <c r="AW32" i="97" s="1"/>
  <c r="AV32" i="97" s="1"/>
  <c r="BB33" i="97"/>
  <c r="BA33" i="97" s="1"/>
  <c r="AZ33" i="97" s="1"/>
  <c r="AY33" i="97" s="1"/>
  <c r="AX33" i="97" s="1"/>
  <c r="AW33" i="97" s="1"/>
  <c r="AV33" i="97" s="1"/>
  <c r="BB34" i="97"/>
  <c r="BA34" i="97" s="1"/>
  <c r="AZ34" i="97" s="1"/>
  <c r="BB35" i="97"/>
  <c r="BA35" i="97" s="1"/>
  <c r="AZ35" i="97" s="1"/>
  <c r="AY35" i="97" s="1"/>
  <c r="AX35" i="97" s="1"/>
  <c r="AW35" i="97" s="1"/>
  <c r="AV35" i="97" s="1"/>
  <c r="BB36" i="97"/>
  <c r="BA36" i="97" s="1"/>
  <c r="AZ36" i="97" s="1"/>
  <c r="AY36" i="97" s="1"/>
  <c r="AX36" i="97" s="1"/>
  <c r="AW36" i="97" s="1"/>
  <c r="AV36" i="97" s="1"/>
  <c r="BB37" i="97"/>
  <c r="BB38" i="97"/>
  <c r="BA38" i="97" s="1"/>
  <c r="AZ38" i="97" s="1"/>
  <c r="AY38" i="97" s="1"/>
  <c r="AX38" i="97" s="1"/>
  <c r="AW38" i="97" s="1"/>
  <c r="AV38" i="97" s="1"/>
  <c r="BB39" i="97"/>
  <c r="BA39" i="97" s="1"/>
  <c r="AZ39" i="97" s="1"/>
  <c r="AY39" i="97" s="1"/>
  <c r="AX39" i="97" s="1"/>
  <c r="AW39" i="97" s="1"/>
  <c r="AV39" i="97" s="1"/>
  <c r="BB40" i="97"/>
  <c r="BA40" i="97" s="1"/>
  <c r="AZ40" i="97" s="1"/>
  <c r="AY40" i="97" s="1"/>
  <c r="AX40" i="97" s="1"/>
  <c r="AW40" i="97" s="1"/>
  <c r="AV40" i="97" s="1"/>
  <c r="BB41" i="97"/>
  <c r="BA41" i="97" s="1"/>
  <c r="AZ41" i="97" s="1"/>
  <c r="AY41" i="97" s="1"/>
  <c r="AX41" i="97" s="1"/>
  <c r="AW41" i="97" s="1"/>
  <c r="AV41" i="97" s="1"/>
  <c r="BB42" i="97"/>
  <c r="BA42" i="97" s="1"/>
  <c r="AZ42" i="97" s="1"/>
  <c r="AY42" i="97" s="1"/>
  <c r="AX42" i="97" s="1"/>
  <c r="AW42" i="97" s="1"/>
  <c r="AV42" i="97" s="1"/>
  <c r="BB43" i="97"/>
  <c r="BA43" i="97" s="1"/>
  <c r="AZ43" i="97" s="1"/>
  <c r="AY43" i="97" s="1"/>
  <c r="AX43" i="97" s="1"/>
  <c r="AW43" i="97" s="1"/>
  <c r="AV43" i="97" s="1"/>
  <c r="BB44" i="97"/>
  <c r="BA44" i="97" s="1"/>
  <c r="AZ44" i="97" s="1"/>
  <c r="AY44" i="97" s="1"/>
  <c r="AX44" i="97" s="1"/>
  <c r="AW44" i="97" s="1"/>
  <c r="AV44" i="97" s="1"/>
  <c r="BB45" i="97"/>
  <c r="BA45" i="97" s="1"/>
  <c r="AZ45" i="97" s="1"/>
  <c r="AY45" i="97" s="1"/>
  <c r="AX45" i="97" s="1"/>
  <c r="AW45" i="97" s="1"/>
  <c r="AV45" i="97" s="1"/>
  <c r="BB46" i="97"/>
  <c r="BA46" i="97" s="1"/>
  <c r="AZ46" i="97" s="1"/>
  <c r="AY46" i="97" s="1"/>
  <c r="AX46" i="97" s="1"/>
  <c r="AW46" i="97" s="1"/>
  <c r="AV46" i="97" s="1"/>
  <c r="BB47" i="97"/>
  <c r="BA47" i="97" s="1"/>
  <c r="AZ47" i="97" s="1"/>
  <c r="AY47" i="97" s="1"/>
  <c r="AX47" i="97" s="1"/>
  <c r="AW47" i="97" s="1"/>
  <c r="AV47" i="97" s="1"/>
  <c r="BB48" i="97"/>
  <c r="BA48" i="97" s="1"/>
  <c r="AZ48" i="97" s="1"/>
  <c r="AY48" i="97" s="1"/>
  <c r="AX48" i="97" s="1"/>
  <c r="AW48" i="97" s="1"/>
  <c r="AV48" i="97" s="1"/>
  <c r="BB49" i="97"/>
  <c r="BA49" i="97" s="1"/>
  <c r="AZ49" i="97" s="1"/>
  <c r="AY49" i="97" s="1"/>
  <c r="AX49" i="97" s="1"/>
  <c r="AW49" i="97" s="1"/>
  <c r="AV49" i="97" s="1"/>
  <c r="BB50" i="97"/>
  <c r="BA50" i="97" s="1"/>
  <c r="AZ50" i="97" s="1"/>
  <c r="AY50" i="97" s="1"/>
  <c r="AX50" i="97" s="1"/>
  <c r="AW50" i="97" s="1"/>
  <c r="AV50" i="97" s="1"/>
  <c r="BB51" i="97"/>
  <c r="BA51" i="97" s="1"/>
  <c r="AZ51" i="97" s="1"/>
  <c r="AY51" i="97" s="1"/>
  <c r="AX51" i="97" s="1"/>
  <c r="AW51" i="97" s="1"/>
  <c r="AV51" i="97" s="1"/>
  <c r="BB52" i="97"/>
  <c r="BA52" i="97" s="1"/>
  <c r="AZ52" i="97" s="1"/>
  <c r="AY52" i="97" s="1"/>
  <c r="AX52" i="97" s="1"/>
  <c r="AW52" i="97" s="1"/>
  <c r="AV52" i="97" s="1"/>
  <c r="BB53" i="97"/>
  <c r="BA53" i="97" s="1"/>
  <c r="AZ53" i="97" s="1"/>
  <c r="AY53" i="97" s="1"/>
  <c r="AX53" i="97" s="1"/>
  <c r="AW53" i="97" s="1"/>
  <c r="AV53" i="97" s="1"/>
  <c r="BB54" i="97"/>
  <c r="BA54" i="97" s="1"/>
  <c r="AZ54" i="97" s="1"/>
  <c r="AY54" i="97" s="1"/>
  <c r="AX54" i="97" s="1"/>
  <c r="AW54" i="97" s="1"/>
  <c r="AV54" i="97" s="1"/>
  <c r="BB55" i="97"/>
  <c r="BA55" i="97" s="1"/>
  <c r="AZ55" i="97" s="1"/>
  <c r="AY55" i="97" s="1"/>
  <c r="AX55" i="97" s="1"/>
  <c r="AW55" i="97" s="1"/>
  <c r="AV55" i="97" s="1"/>
  <c r="BB56" i="97"/>
  <c r="BA56" i="97" s="1"/>
  <c r="AZ56" i="97" s="1"/>
  <c r="AY56" i="97" s="1"/>
  <c r="AX56" i="97" s="1"/>
  <c r="AW56" i="97" s="1"/>
  <c r="AV56" i="97" s="1"/>
  <c r="BB57" i="97"/>
  <c r="BA57" i="97" s="1"/>
  <c r="AZ57" i="97" s="1"/>
  <c r="AY57" i="97" s="1"/>
  <c r="AX57" i="97" s="1"/>
  <c r="AW57" i="97" s="1"/>
  <c r="AV57" i="97" s="1"/>
  <c r="BB58" i="97"/>
  <c r="BA58" i="97" s="1"/>
  <c r="AZ58" i="97" s="1"/>
  <c r="AY58" i="97" s="1"/>
  <c r="AX58" i="97" s="1"/>
  <c r="AW58" i="97" s="1"/>
  <c r="AV58" i="97" s="1"/>
  <c r="BB59" i="97"/>
  <c r="BB60" i="97"/>
  <c r="BA60" i="97" s="1"/>
  <c r="AZ60" i="97" s="1"/>
  <c r="AY60" i="97" s="1"/>
  <c r="BB61" i="97"/>
  <c r="BA61" i="97" s="1"/>
  <c r="AZ61" i="97" s="1"/>
  <c r="AY61" i="97" s="1"/>
  <c r="AX61" i="97" s="1"/>
  <c r="AW61" i="97" s="1"/>
  <c r="AV61" i="97" s="1"/>
  <c r="BB62" i="97"/>
  <c r="BA62" i="97" s="1"/>
  <c r="AZ62" i="97" s="1"/>
  <c r="AY62" i="97" s="1"/>
  <c r="AX62" i="97" s="1"/>
  <c r="AW62" i="97" s="1"/>
  <c r="AV62" i="97" s="1"/>
  <c r="BB63" i="97"/>
  <c r="BA63" i="97" s="1"/>
  <c r="AZ63" i="97" s="1"/>
  <c r="AY63" i="97" s="1"/>
  <c r="AX63" i="97" s="1"/>
  <c r="AW63" i="97" s="1"/>
  <c r="AV63" i="97" s="1"/>
  <c r="BB64" i="97"/>
  <c r="BA64" i="97" s="1"/>
  <c r="AZ64" i="97" s="1"/>
  <c r="AY64" i="97" s="1"/>
  <c r="AX64" i="97" s="1"/>
  <c r="AW64" i="97" s="1"/>
  <c r="AV64" i="97" s="1"/>
  <c r="BB65" i="97"/>
  <c r="BA65" i="97" s="1"/>
  <c r="AZ65" i="97" s="1"/>
  <c r="AY65" i="97" s="1"/>
  <c r="AX65" i="97" s="1"/>
  <c r="AW65" i="97" s="1"/>
  <c r="AV65" i="97" s="1"/>
  <c r="BB67" i="97"/>
  <c r="BA67" i="97" s="1"/>
  <c r="AZ67" i="97" s="1"/>
  <c r="AY67" i="97" s="1"/>
  <c r="AX67" i="97" s="1"/>
  <c r="AW67" i="97" s="1"/>
  <c r="AV67" i="97" s="1"/>
  <c r="BB68" i="97"/>
  <c r="BA68" i="97" s="1"/>
  <c r="AZ68" i="97" s="1"/>
  <c r="BB69" i="97"/>
  <c r="BA69" i="97" s="1"/>
  <c r="AZ69" i="97" s="1"/>
  <c r="AY69" i="97" s="1"/>
  <c r="AX69" i="97" s="1"/>
  <c r="AW69" i="97" s="1"/>
  <c r="AV69" i="97" s="1"/>
  <c r="BB70" i="97"/>
  <c r="BA70" i="97" s="1"/>
  <c r="AZ70" i="97" s="1"/>
  <c r="AY70" i="97" s="1"/>
  <c r="AX70" i="97" s="1"/>
  <c r="AW70" i="97" s="1"/>
  <c r="AV70" i="97" s="1"/>
  <c r="BB71" i="97"/>
  <c r="BA71" i="97" s="1"/>
  <c r="AZ71" i="97" s="1"/>
  <c r="AY71" i="97" s="1"/>
  <c r="AX71" i="97" s="1"/>
  <c r="AW71" i="97" s="1"/>
  <c r="AV71" i="97" s="1"/>
  <c r="BB72" i="97"/>
  <c r="BA72" i="97" s="1"/>
  <c r="AZ72" i="97" s="1"/>
  <c r="AY72" i="97" s="1"/>
  <c r="AX72" i="97" s="1"/>
  <c r="AW72" i="97" s="1"/>
  <c r="AV72" i="97" s="1"/>
  <c r="BB73" i="97"/>
  <c r="BB75" i="97"/>
  <c r="BA75" i="97" s="1"/>
  <c r="AZ75" i="97" s="1"/>
  <c r="AY75" i="97" s="1"/>
  <c r="AX75" i="97" s="1"/>
  <c r="AW75" i="97" s="1"/>
  <c r="AV75" i="97" s="1"/>
  <c r="BB76" i="97"/>
  <c r="BB77" i="97"/>
  <c r="BA77" i="97" s="1"/>
  <c r="AZ77" i="97" s="1"/>
  <c r="AY77" i="97" s="1"/>
  <c r="AX77" i="97" s="1"/>
  <c r="AW77" i="97" s="1"/>
  <c r="AV77" i="97" s="1"/>
  <c r="BB78" i="97"/>
  <c r="BA78" i="97" s="1"/>
  <c r="AZ78" i="97" s="1"/>
  <c r="AY78" i="97" s="1"/>
  <c r="AX78" i="97" s="1"/>
  <c r="AW78" i="97" s="1"/>
  <c r="AV78" i="97" s="1"/>
  <c r="BB79" i="97"/>
  <c r="BA79" i="97" s="1"/>
  <c r="AZ79" i="97" s="1"/>
  <c r="AY79" i="97" s="1"/>
  <c r="AX79" i="97" s="1"/>
  <c r="AW79" i="97" s="1"/>
  <c r="AV79" i="97" s="1"/>
  <c r="BB80" i="97"/>
  <c r="BA80" i="97" s="1"/>
  <c r="AZ80" i="97" s="1"/>
  <c r="AY80" i="97" s="1"/>
  <c r="AX80" i="97" s="1"/>
  <c r="AW80" i="97" s="1"/>
  <c r="AV80" i="97" s="1"/>
  <c r="BB81" i="97"/>
  <c r="BA81" i="97" s="1"/>
  <c r="BB82" i="97"/>
  <c r="BA82" i="97" s="1"/>
  <c r="AZ82" i="97" s="1"/>
  <c r="BB83" i="97"/>
  <c r="BA83" i="97" s="1"/>
  <c r="AZ83" i="97" s="1"/>
  <c r="BB10" i="97"/>
  <c r="BA10" i="97" s="1"/>
  <c r="AZ10" i="97" s="1"/>
  <c r="AY10" i="97" s="1"/>
  <c r="X11" i="97"/>
  <c r="W11" i="97" s="1"/>
  <c r="X12" i="97"/>
  <c r="X13" i="97"/>
  <c r="W13" i="97" s="1"/>
  <c r="V13" i="97" s="1"/>
  <c r="X14" i="97"/>
  <c r="X15" i="97"/>
  <c r="X16" i="97"/>
  <c r="W16" i="97" s="1"/>
  <c r="V16" i="97" s="1"/>
  <c r="U16" i="97" s="1"/>
  <c r="T16" i="97" s="1"/>
  <c r="X17" i="97"/>
  <c r="W17" i="97" s="1"/>
  <c r="V17" i="97" s="1"/>
  <c r="U17" i="97" s="1"/>
  <c r="T17" i="97" s="1"/>
  <c r="S17" i="97" s="1"/>
  <c r="X18" i="97"/>
  <c r="W18" i="97" s="1"/>
  <c r="X19" i="97"/>
  <c r="W19" i="97" s="1"/>
  <c r="V19" i="97" s="1"/>
  <c r="X20" i="97"/>
  <c r="W20" i="97" s="1"/>
  <c r="V20" i="97" s="1"/>
  <c r="U20" i="97" s="1"/>
  <c r="T20" i="97" s="1"/>
  <c r="S20" i="97" s="1"/>
  <c r="R20" i="97" s="1"/>
  <c r="X21" i="97"/>
  <c r="X22" i="97"/>
  <c r="X23" i="97"/>
  <c r="W23" i="97" s="1"/>
  <c r="V23" i="97" s="1"/>
  <c r="U23" i="97" s="1"/>
  <c r="T23" i="97" s="1"/>
  <c r="S23" i="97" s="1"/>
  <c r="X24" i="97"/>
  <c r="X25" i="97"/>
  <c r="W25" i="97" s="1"/>
  <c r="V25" i="97" s="1"/>
  <c r="U25" i="97" s="1"/>
  <c r="T25" i="97" s="1"/>
  <c r="S25" i="97" s="1"/>
  <c r="R25" i="97" s="1"/>
  <c r="X26" i="97"/>
  <c r="W26" i="97" s="1"/>
  <c r="V26" i="97" s="1"/>
  <c r="U26" i="97" s="1"/>
  <c r="T26" i="97" s="1"/>
  <c r="S26" i="97" s="1"/>
  <c r="X27" i="97"/>
  <c r="W27" i="97" s="1"/>
  <c r="V27" i="97" s="1"/>
  <c r="U27" i="97" s="1"/>
  <c r="T27" i="97" s="1"/>
  <c r="S27" i="97" s="1"/>
  <c r="R27" i="97" s="1"/>
  <c r="X28" i="97"/>
  <c r="W28" i="97" s="1"/>
  <c r="V28" i="97" s="1"/>
  <c r="U28" i="97" s="1"/>
  <c r="T28" i="97" s="1"/>
  <c r="S28" i="97" s="1"/>
  <c r="R28" i="97" s="1"/>
  <c r="X29" i="97"/>
  <c r="W29" i="97" s="1"/>
  <c r="X30" i="97"/>
  <c r="W30" i="97" s="1"/>
  <c r="X31" i="97"/>
  <c r="X32" i="97"/>
  <c r="W32" i="97" s="1"/>
  <c r="V32" i="97" s="1"/>
  <c r="U32" i="97" s="1"/>
  <c r="T32" i="97" s="1"/>
  <c r="S32" i="97" s="1"/>
  <c r="R32" i="97" s="1"/>
  <c r="X33" i="97"/>
  <c r="W33" i="97" s="1"/>
  <c r="X34" i="97"/>
  <c r="W34" i="97" s="1"/>
  <c r="V34" i="97" s="1"/>
  <c r="U34" i="97" s="1"/>
  <c r="X35" i="97"/>
  <c r="W35" i="97" s="1"/>
  <c r="X36" i="97"/>
  <c r="W36" i="97" s="1"/>
  <c r="X37" i="97"/>
  <c r="W37" i="97" s="1"/>
  <c r="V37" i="97" s="1"/>
  <c r="U37" i="97" s="1"/>
  <c r="X38" i="97"/>
  <c r="X39" i="97"/>
  <c r="W39" i="97" s="1"/>
  <c r="X40" i="97"/>
  <c r="W40" i="97" s="1"/>
  <c r="X41" i="97"/>
  <c r="X42" i="97"/>
  <c r="W42" i="97" s="1"/>
  <c r="X43" i="97"/>
  <c r="W43" i="97" s="1"/>
  <c r="V43" i="97" s="1"/>
  <c r="U43" i="97" s="1"/>
  <c r="T43" i="97" s="1"/>
  <c r="S43" i="97" s="1"/>
  <c r="R43" i="97" s="1"/>
  <c r="X44" i="97"/>
  <c r="W44" i="97" s="1"/>
  <c r="V44" i="97" s="1"/>
  <c r="U44" i="97" s="1"/>
  <c r="T44" i="97" s="1"/>
  <c r="S44" i="97" s="1"/>
  <c r="R44" i="97" s="1"/>
  <c r="X45" i="97"/>
  <c r="W45" i="97" s="1"/>
  <c r="V45" i="97" s="1"/>
  <c r="U45" i="97" s="1"/>
  <c r="T45" i="97" s="1"/>
  <c r="X46" i="97"/>
  <c r="W46" i="97" s="1"/>
  <c r="V46" i="97" s="1"/>
  <c r="U46" i="97" s="1"/>
  <c r="T46" i="97" s="1"/>
  <c r="S46" i="97" s="1"/>
  <c r="R46" i="97" s="1"/>
  <c r="X47" i="97"/>
  <c r="W47" i="97" s="1"/>
  <c r="V47" i="97" s="1"/>
  <c r="U47" i="97" s="1"/>
  <c r="T47" i="97" s="1"/>
  <c r="S47" i="97" s="1"/>
  <c r="R47" i="97" s="1"/>
  <c r="X48" i="97"/>
  <c r="W48" i="97" s="1"/>
  <c r="V48" i="97" s="1"/>
  <c r="U48" i="97" s="1"/>
  <c r="T48" i="97" s="1"/>
  <c r="S48" i="97" s="1"/>
  <c r="R48" i="97" s="1"/>
  <c r="X49" i="97"/>
  <c r="W49" i="97" s="1"/>
  <c r="V49" i="97" s="1"/>
  <c r="U49" i="97" s="1"/>
  <c r="T49" i="97" s="1"/>
  <c r="S49" i="97" s="1"/>
  <c r="R49" i="97" s="1"/>
  <c r="X50" i="97"/>
  <c r="W50" i="97" s="1"/>
  <c r="X51" i="97"/>
  <c r="W51" i="97" s="1"/>
  <c r="V51" i="97" s="1"/>
  <c r="U51" i="97" s="1"/>
  <c r="X52" i="97"/>
  <c r="W52" i="97" s="1"/>
  <c r="V52" i="97" s="1"/>
  <c r="U52" i="97" s="1"/>
  <c r="X53" i="97"/>
  <c r="W53" i="97" s="1"/>
  <c r="V53" i="97" s="1"/>
  <c r="X54" i="97"/>
  <c r="W54" i="97" s="1"/>
  <c r="X55" i="97"/>
  <c r="W55" i="97" s="1"/>
  <c r="X56" i="97"/>
  <c r="W56" i="97" s="1"/>
  <c r="V56" i="97" s="1"/>
  <c r="U56" i="97" s="1"/>
  <c r="T56" i="97" s="1"/>
  <c r="X57" i="97"/>
  <c r="W57" i="97" s="1"/>
  <c r="V57" i="97" s="1"/>
  <c r="U57" i="97" s="1"/>
  <c r="T57" i="97" s="1"/>
  <c r="S57" i="97" s="1"/>
  <c r="X58" i="97"/>
  <c r="W58" i="97" s="1"/>
  <c r="V58" i="97" s="1"/>
  <c r="X59" i="97"/>
  <c r="W59" i="97" s="1"/>
  <c r="V59" i="97" s="1"/>
  <c r="U59" i="97" s="1"/>
  <c r="X60" i="97"/>
  <c r="W60" i="97" s="1"/>
  <c r="X61" i="97"/>
  <c r="W61" i="97" s="1"/>
  <c r="V61" i="97" s="1"/>
  <c r="U61" i="97" s="1"/>
  <c r="T61" i="97" s="1"/>
  <c r="X62" i="97"/>
  <c r="W62" i="97" s="1"/>
  <c r="V62" i="97" s="1"/>
  <c r="U62" i="97" s="1"/>
  <c r="T62" i="97" s="1"/>
  <c r="S62" i="97" s="1"/>
  <c r="R62" i="97" s="1"/>
  <c r="X63" i="97"/>
  <c r="W63" i="97" s="1"/>
  <c r="V63" i="97" s="1"/>
  <c r="U63" i="97" s="1"/>
  <c r="X64" i="97"/>
  <c r="W64" i="97" s="1"/>
  <c r="V64" i="97" s="1"/>
  <c r="X65" i="97"/>
  <c r="W65" i="97" s="1"/>
  <c r="V65" i="97" s="1"/>
  <c r="U65" i="97" s="1"/>
  <c r="T65" i="97" s="1"/>
  <c r="S65" i="97" s="1"/>
  <c r="R65" i="97" s="1"/>
  <c r="X67" i="97"/>
  <c r="W67" i="97" s="1"/>
  <c r="V67" i="97" s="1"/>
  <c r="U67" i="97" s="1"/>
  <c r="X68" i="97"/>
  <c r="X173" i="97" s="1"/>
  <c r="X69" i="97"/>
  <c r="W69" i="97" s="1"/>
  <c r="V69" i="97" s="1"/>
  <c r="X70" i="97"/>
  <c r="W70" i="97" s="1"/>
  <c r="V70" i="97" s="1"/>
  <c r="U70" i="97" s="1"/>
  <c r="T70" i="97" s="1"/>
  <c r="S70" i="97" s="1"/>
  <c r="R70" i="97" s="1"/>
  <c r="X71" i="97"/>
  <c r="X72" i="97"/>
  <c r="W72" i="97" s="1"/>
  <c r="V72" i="97" s="1"/>
  <c r="X75" i="97"/>
  <c r="X76" i="97"/>
  <c r="W76" i="97" s="1"/>
  <c r="X77" i="97"/>
  <c r="W77" i="97" s="1"/>
  <c r="X78" i="97"/>
  <c r="W78" i="97" s="1"/>
  <c r="V78" i="97" s="1"/>
  <c r="U78" i="97" s="1"/>
  <c r="T78" i="97" s="1"/>
  <c r="S78" i="97" s="1"/>
  <c r="R78" i="97" s="1"/>
  <c r="X79" i="97"/>
  <c r="W79" i="97" s="1"/>
  <c r="V79" i="97" s="1"/>
  <c r="X80" i="97"/>
  <c r="W80" i="97" s="1"/>
  <c r="V80" i="97" s="1"/>
  <c r="U80" i="97" s="1"/>
  <c r="X81" i="97"/>
  <c r="W81" i="97" s="1"/>
  <c r="X82" i="97"/>
  <c r="W82" i="97" s="1"/>
  <c r="V82" i="97" s="1"/>
  <c r="U82" i="97" s="1"/>
  <c r="X83" i="97"/>
  <c r="W83" i="97" s="1"/>
  <c r="V83" i="97" s="1"/>
  <c r="U83" i="97" s="1"/>
  <c r="T83" i="97" s="1"/>
  <c r="X10" i="97"/>
  <c r="W10" i="97" s="1"/>
  <c r="V10" i="97" s="1"/>
  <c r="U10" i="97" s="1"/>
  <c r="T10" i="97" s="1"/>
  <c r="Y174" i="97"/>
  <c r="CU174" i="97"/>
  <c r="AI174" i="97"/>
  <c r="AJ174" i="97"/>
  <c r="CT174" i="97"/>
  <c r="X174" i="97"/>
  <c r="AM96" i="97"/>
  <c r="AM97" i="97"/>
  <c r="AM98" i="97"/>
  <c r="AM99" i="97"/>
  <c r="AM100" i="97"/>
  <c r="AM101" i="97"/>
  <c r="AM102" i="97"/>
  <c r="AM103" i="97"/>
  <c r="AM104" i="97"/>
  <c r="AM105" i="97"/>
  <c r="AM106" i="97"/>
  <c r="AM107" i="97"/>
  <c r="AM108" i="97"/>
  <c r="AM109" i="97"/>
  <c r="AM110" i="97"/>
  <c r="AM111" i="97"/>
  <c r="AM112" i="97"/>
  <c r="AM113" i="97"/>
  <c r="AM114" i="97"/>
  <c r="AM115" i="97"/>
  <c r="AM116" i="97"/>
  <c r="AM117" i="97"/>
  <c r="AM118" i="97"/>
  <c r="AM119" i="97"/>
  <c r="AM120" i="97"/>
  <c r="AM121" i="97"/>
  <c r="AM122" i="97"/>
  <c r="AM123" i="97"/>
  <c r="AM124" i="97"/>
  <c r="AM125" i="97"/>
  <c r="AM126" i="97"/>
  <c r="AM127" i="97"/>
  <c r="AM128" i="97"/>
  <c r="AM129" i="97"/>
  <c r="AM130" i="97"/>
  <c r="AM131" i="97"/>
  <c r="AM132" i="97"/>
  <c r="AM133" i="97"/>
  <c r="AM134" i="97"/>
  <c r="AM135" i="97"/>
  <c r="AM136" i="97"/>
  <c r="AM137" i="97"/>
  <c r="AM138" i="97"/>
  <c r="AM139" i="97"/>
  <c r="AM140" i="97"/>
  <c r="AM141" i="97"/>
  <c r="AM142" i="97"/>
  <c r="AM143" i="97"/>
  <c r="AM144" i="97"/>
  <c r="AM145" i="97"/>
  <c r="AM146" i="97"/>
  <c r="AM147" i="97"/>
  <c r="AM148" i="97"/>
  <c r="AM149" i="97"/>
  <c r="AM150" i="97"/>
  <c r="AM151" i="97"/>
  <c r="AM152" i="97"/>
  <c r="AM153" i="97"/>
  <c r="AM154" i="97"/>
  <c r="AM155" i="97"/>
  <c r="AM156" i="97"/>
  <c r="AM157" i="97"/>
  <c r="AM159" i="97"/>
  <c r="AM160" i="97"/>
  <c r="AM161" i="97"/>
  <c r="AM162" i="97"/>
  <c r="AM163" i="97"/>
  <c r="AM164" i="97"/>
  <c r="AM166" i="97"/>
  <c r="AM167" i="97"/>
  <c r="AM95" i="97"/>
  <c r="AB95" i="97"/>
  <c r="AG174" i="97"/>
  <c r="AH174" i="97"/>
  <c r="CS174" i="97"/>
  <c r="W174" i="97"/>
  <c r="AB96" i="97"/>
  <c r="AB97" i="97"/>
  <c r="AB98" i="97"/>
  <c r="AB99" i="97"/>
  <c r="AB100" i="97"/>
  <c r="AB101" i="97"/>
  <c r="AB102" i="97"/>
  <c r="AB103" i="97"/>
  <c r="AB104" i="97"/>
  <c r="AB105" i="97"/>
  <c r="AB106" i="97"/>
  <c r="AB107" i="97"/>
  <c r="AB108" i="97"/>
  <c r="AB109" i="97"/>
  <c r="AB110" i="97"/>
  <c r="AB111" i="97"/>
  <c r="AB114" i="97"/>
  <c r="AB115" i="97"/>
  <c r="AB116" i="97"/>
  <c r="AB117" i="97"/>
  <c r="AB118" i="97"/>
  <c r="AB119" i="97"/>
  <c r="AB120" i="97"/>
  <c r="AB121" i="97"/>
  <c r="AB122" i="97"/>
  <c r="AB123" i="97"/>
  <c r="AB124" i="97"/>
  <c r="AB125" i="97"/>
  <c r="AB126" i="97"/>
  <c r="AB127" i="97"/>
  <c r="AB128" i="97"/>
  <c r="AB129" i="97"/>
  <c r="AB130" i="97"/>
  <c r="AB131" i="97"/>
  <c r="AB132" i="97"/>
  <c r="AB133" i="97"/>
  <c r="AB134" i="97"/>
  <c r="AB135" i="97"/>
  <c r="AB136" i="97"/>
  <c r="AB137" i="97"/>
  <c r="AB138" i="97"/>
  <c r="AB139" i="97"/>
  <c r="AB140" i="97"/>
  <c r="AB141" i="97"/>
  <c r="AB142" i="97"/>
  <c r="AB143" i="97"/>
  <c r="AB144" i="97"/>
  <c r="AB145" i="97"/>
  <c r="AB146" i="97"/>
  <c r="AB147" i="97"/>
  <c r="AB148" i="97"/>
  <c r="AB149" i="97"/>
  <c r="AB150" i="97"/>
  <c r="AB151" i="97"/>
  <c r="AB152" i="97"/>
  <c r="AB153" i="97"/>
  <c r="AB154" i="97"/>
  <c r="AB156" i="97"/>
  <c r="AB157" i="97"/>
  <c r="AB158" i="97"/>
  <c r="AB159" i="97"/>
  <c r="AB161" i="97"/>
  <c r="AB162" i="97"/>
  <c r="AB163" i="97"/>
  <c r="AB164" i="97"/>
  <c r="AB166" i="97"/>
  <c r="V156" i="97"/>
  <c r="V149" i="97"/>
  <c r="V143" i="97"/>
  <c r="V140" i="97"/>
  <c r="V139" i="97"/>
  <c r="V133" i="97"/>
  <c r="V131" i="97"/>
  <c r="V125" i="97"/>
  <c r="V105" i="97"/>
  <c r="V98" i="97"/>
  <c r="Y118" i="97"/>
  <c r="Y126" i="97"/>
  <c r="V174" i="97"/>
  <c r="CR174" i="97"/>
  <c r="AJ167" i="97"/>
  <c r="AJ54" i="97"/>
  <c r="AI54" i="97" s="1"/>
  <c r="AH54" i="97" s="1"/>
  <c r="AJ55" i="97"/>
  <c r="AI55" i="97" s="1"/>
  <c r="AH55" i="97" s="1"/>
  <c r="AG55" i="97" s="1"/>
  <c r="M28" i="97"/>
  <c r="L173" i="97"/>
  <c r="M83" i="97"/>
  <c r="CQ174" i="97"/>
  <c r="U174" i="97"/>
  <c r="EC9" i="97"/>
  <c r="EC175" i="97" s="1"/>
  <c r="EB9" i="97"/>
  <c r="EB175" i="97" s="1"/>
  <c r="EA9" i="97"/>
  <c r="EA175" i="97" s="1"/>
  <c r="DZ9" i="97"/>
  <c r="DZ175" i="97" s="1"/>
  <c r="DY9" i="97"/>
  <c r="DY175" i="97" s="1"/>
  <c r="DX9" i="97"/>
  <c r="DX175" i="97" s="1"/>
  <c r="DW9" i="97"/>
  <c r="DW175" i="97" s="1"/>
  <c r="DV9" i="97"/>
  <c r="DV175" i="97" s="1"/>
  <c r="DU9" i="97"/>
  <c r="DU175" i="97" s="1"/>
  <c r="DT9" i="97"/>
  <c r="DT175" i="97" s="1"/>
  <c r="DS9" i="97"/>
  <c r="DS175" i="97" s="1"/>
  <c r="CX9" i="97"/>
  <c r="CX175" i="97" s="1"/>
  <c r="CW9" i="97"/>
  <c r="CW175" i="97" s="1"/>
  <c r="CV9" i="97"/>
  <c r="CV175" i="97" s="1"/>
  <c r="BF9" i="97"/>
  <c r="BF175" i="97" s="1"/>
  <c r="BE9" i="97"/>
  <c r="BE175" i="97" s="1"/>
  <c r="BD9" i="97"/>
  <c r="BD175" i="97" s="1"/>
  <c r="BC9" i="97"/>
  <c r="BC175" i="97" s="1"/>
  <c r="Z9" i="97"/>
  <c r="Z175" i="97" s="1"/>
  <c r="AA9" i="97"/>
  <c r="AA175" i="97" s="1"/>
  <c r="AB9" i="97"/>
  <c r="AB175" i="97" s="1"/>
  <c r="T174" i="97"/>
  <c r="CO174" i="97"/>
  <c r="CP174" i="97"/>
  <c r="I96" i="97"/>
  <c r="I97" i="97"/>
  <c r="I98" i="97"/>
  <c r="I99" i="97"/>
  <c r="I100" i="97"/>
  <c r="I102" i="97"/>
  <c r="I103" i="97"/>
  <c r="I104" i="97"/>
  <c r="I105" i="97"/>
  <c r="I106" i="97"/>
  <c r="I107" i="97"/>
  <c r="I108" i="97"/>
  <c r="I109" i="97"/>
  <c r="I110" i="97"/>
  <c r="I111" i="97"/>
  <c r="I112" i="97"/>
  <c r="I113" i="97"/>
  <c r="I114" i="97"/>
  <c r="I115" i="97"/>
  <c r="I116" i="97"/>
  <c r="I117" i="97"/>
  <c r="I118" i="97"/>
  <c r="I119" i="97"/>
  <c r="I120" i="97"/>
  <c r="I121" i="97"/>
  <c r="I122" i="97"/>
  <c r="I123" i="97"/>
  <c r="I124" i="97"/>
  <c r="I125" i="97"/>
  <c r="I126" i="97"/>
  <c r="I127" i="97"/>
  <c r="I128" i="97"/>
  <c r="I129" i="97"/>
  <c r="I130" i="97"/>
  <c r="I131" i="97"/>
  <c r="I132" i="97"/>
  <c r="I133" i="97"/>
  <c r="I135" i="97"/>
  <c r="I136" i="97"/>
  <c r="I139" i="97"/>
  <c r="I140" i="97"/>
  <c r="I141" i="97"/>
  <c r="I142" i="97"/>
  <c r="I143" i="97"/>
  <c r="I144" i="97"/>
  <c r="I145" i="97"/>
  <c r="I146" i="97"/>
  <c r="I147" i="97"/>
  <c r="I148" i="97"/>
  <c r="I149" i="97"/>
  <c r="I150" i="97"/>
  <c r="I151" i="97"/>
  <c r="I152" i="97"/>
  <c r="I153" i="97"/>
  <c r="I154" i="97"/>
  <c r="I155" i="97"/>
  <c r="I156" i="97"/>
  <c r="I158" i="97"/>
  <c r="I159" i="97"/>
  <c r="I162" i="97"/>
  <c r="I163" i="97"/>
  <c r="I164" i="97"/>
  <c r="I166" i="97"/>
  <c r="I167" i="97"/>
  <c r="I95" i="97"/>
  <c r="H96" i="97"/>
  <c r="H97" i="97"/>
  <c r="H98" i="97"/>
  <c r="H99" i="97"/>
  <c r="H100" i="97"/>
  <c r="H101" i="97"/>
  <c r="H102" i="97"/>
  <c r="H103" i="97"/>
  <c r="H104" i="97"/>
  <c r="H105" i="97"/>
  <c r="H106" i="97"/>
  <c r="H107" i="97"/>
  <c r="H108" i="97"/>
  <c r="H109" i="97"/>
  <c r="H110" i="97"/>
  <c r="H111" i="97"/>
  <c r="H112" i="97"/>
  <c r="H113" i="97"/>
  <c r="H114" i="97"/>
  <c r="H115" i="97"/>
  <c r="H116" i="97"/>
  <c r="H117" i="97"/>
  <c r="H118" i="97"/>
  <c r="H119" i="97"/>
  <c r="H120" i="97"/>
  <c r="H121" i="97"/>
  <c r="H122" i="97"/>
  <c r="H123" i="97"/>
  <c r="H124" i="97"/>
  <c r="H125" i="97"/>
  <c r="H126" i="97"/>
  <c r="H127" i="97"/>
  <c r="H128" i="97"/>
  <c r="H129" i="97"/>
  <c r="H130" i="97"/>
  <c r="H131" i="97"/>
  <c r="H132" i="97"/>
  <c r="H133" i="97"/>
  <c r="H134" i="97"/>
  <c r="K134" i="97" s="1"/>
  <c r="H135" i="97"/>
  <c r="H136" i="97"/>
  <c r="H137" i="97"/>
  <c r="K137" i="97" s="1"/>
  <c r="H138" i="97"/>
  <c r="K138" i="97" s="1"/>
  <c r="H139" i="97"/>
  <c r="H140" i="97"/>
  <c r="H141" i="97"/>
  <c r="H142" i="97"/>
  <c r="H143" i="97"/>
  <c r="H144" i="97"/>
  <c r="H145" i="97"/>
  <c r="H146" i="97"/>
  <c r="H147" i="97"/>
  <c r="H148" i="97"/>
  <c r="H149" i="97"/>
  <c r="H150" i="97"/>
  <c r="H151" i="97"/>
  <c r="H152" i="97"/>
  <c r="H153" i="97"/>
  <c r="H154" i="97"/>
  <c r="H155" i="97"/>
  <c r="H156" i="97"/>
  <c r="H157" i="97"/>
  <c r="K157" i="97" s="1"/>
  <c r="H158" i="97"/>
  <c r="H159" i="97"/>
  <c r="H160" i="97"/>
  <c r="H161" i="97"/>
  <c r="H162" i="97"/>
  <c r="H163" i="97"/>
  <c r="J163" i="97" s="1"/>
  <c r="H164" i="97"/>
  <c r="H165" i="97"/>
  <c r="K165" i="97" s="1"/>
  <c r="H166" i="97"/>
  <c r="H167" i="97"/>
  <c r="H95" i="97"/>
  <c r="R174" i="97"/>
  <c r="S174" i="97"/>
  <c r="Y9" i="97"/>
  <c r="I161" i="97"/>
  <c r="I160" i="97"/>
  <c r="M71" i="97"/>
  <c r="M49" i="97"/>
  <c r="I134" i="97"/>
  <c r="I138" i="97"/>
  <c r="I137" i="97"/>
  <c r="AG83" i="97"/>
  <c r="AI83" i="97"/>
  <c r="K71" i="97"/>
  <c r="J83" i="97"/>
  <c r="V157" i="97"/>
  <c r="AH83" i="97"/>
  <c r="AJ83" i="97"/>
  <c r="K83" i="97"/>
  <c r="AJ71" i="97"/>
  <c r="AI71" i="97" s="1"/>
  <c r="AH71" i="97" s="1"/>
  <c r="AG71" i="97" s="1"/>
  <c r="V96" i="97"/>
  <c r="V100" i="97"/>
  <c r="V104" i="97"/>
  <c r="V108" i="97"/>
  <c r="V116" i="97"/>
  <c r="V120" i="97"/>
  <c r="V124" i="97"/>
  <c r="V128" i="97"/>
  <c r="V132" i="97"/>
  <c r="V136" i="97"/>
  <c r="V144" i="97"/>
  <c r="V148" i="97"/>
  <c r="V164" i="97"/>
  <c r="V97" i="97"/>
  <c r="V109" i="97"/>
  <c r="V117" i="97"/>
  <c r="V121" i="97"/>
  <c r="V129" i="97"/>
  <c r="V141" i="97"/>
  <c r="V145" i="97"/>
  <c r="V153" i="97"/>
  <c r="V102" i="97"/>
  <c r="V106" i="97"/>
  <c r="V110" i="97"/>
  <c r="V114" i="97"/>
  <c r="V118" i="97"/>
  <c r="V122" i="97"/>
  <c r="V126" i="97"/>
  <c r="V130" i="97"/>
  <c r="V142" i="97"/>
  <c r="V146" i="97"/>
  <c r="V150" i="97"/>
  <c r="V154" i="97"/>
  <c r="V162" i="97"/>
  <c r="V166" i="97"/>
  <c r="V95" i="97"/>
  <c r="V99" i="97"/>
  <c r="V103" i="97"/>
  <c r="V107" i="97"/>
  <c r="V111" i="97"/>
  <c r="V115" i="97"/>
  <c r="V119" i="97"/>
  <c r="V123" i="97"/>
  <c r="V127" i="97"/>
  <c r="V135" i="97"/>
  <c r="V147" i="97"/>
  <c r="V151" i="97"/>
  <c r="V155" i="97"/>
  <c r="V159" i="97"/>
  <c r="V163" i="97"/>
  <c r="AJ38" i="97"/>
  <c r="AI38" i="97" s="1"/>
  <c r="AH38" i="97" s="1"/>
  <c r="AG38" i="97" s="1"/>
  <c r="AJ34" i="97"/>
  <c r="AI34" i="97" s="1"/>
  <c r="AH34" i="97" s="1"/>
  <c r="AG34" i="97" s="1"/>
  <c r="J71" i="97"/>
  <c r="AJ35" i="97"/>
  <c r="AI35" i="97" s="1"/>
  <c r="AH35" i="97" s="1"/>
  <c r="AG35" i="97" s="1"/>
  <c r="AJ36" i="97"/>
  <c r="AI36" i="97" s="1"/>
  <c r="AH36" i="97" s="1"/>
  <c r="AG36" i="97" s="1"/>
  <c r="AJ26" i="97"/>
  <c r="AI26" i="97" s="1"/>
  <c r="AH26" i="97" s="1"/>
  <c r="AG26" i="97" s="1"/>
  <c r="AJ39" i="97"/>
  <c r="AI39" i="97" s="1"/>
  <c r="AH39" i="97" s="1"/>
  <c r="AG39" i="97" s="1"/>
  <c r="AJ25" i="97"/>
  <c r="AI25" i="97" s="1"/>
  <c r="AJ62" i="97"/>
  <c r="AI62" i="97" s="1"/>
  <c r="AH62" i="97" s="1"/>
  <c r="AG62" i="97" s="1"/>
  <c r="AJ37" i="97"/>
  <c r="AI37" i="97" s="1"/>
  <c r="AJ33" i="97"/>
  <c r="AI33" i="97" s="1"/>
  <c r="AH33" i="97" s="1"/>
  <c r="AG33" i="97" s="1"/>
  <c r="AJ65" i="97"/>
  <c r="AI65" i="97" s="1"/>
  <c r="AJ67" i="97"/>
  <c r="AI67" i="97" s="1"/>
  <c r="AH67" i="97" s="1"/>
  <c r="AG67" i="97" s="1"/>
  <c r="AJ69" i="97"/>
  <c r="AI69" i="97" s="1"/>
  <c r="AH69" i="97" s="1"/>
  <c r="AG69" i="97" s="1"/>
  <c r="AJ32" i="97"/>
  <c r="AI32" i="97" s="1"/>
  <c r="AH32" i="97" s="1"/>
  <c r="AG32" i="97" s="1"/>
  <c r="AJ31" i="97"/>
  <c r="AI31" i="97" s="1"/>
  <c r="AH31" i="97" s="1"/>
  <c r="AG31" i="97" s="1"/>
  <c r="AJ70" i="97"/>
  <c r="AJ63" i="97"/>
  <c r="AI63" i="97" s="1"/>
  <c r="AH63" i="97" s="1"/>
  <c r="AG63" i="97" s="1"/>
  <c r="AJ75" i="97"/>
  <c r="AI75" i="97" s="1"/>
  <c r="AH75" i="97" s="1"/>
  <c r="AG75" i="97" s="1"/>
  <c r="AJ77" i="97"/>
  <c r="AI77" i="97" s="1"/>
  <c r="AH77" i="97" s="1"/>
  <c r="AG77" i="97" s="1"/>
  <c r="AJ73" i="97"/>
  <c r="AI73" i="97" s="1"/>
  <c r="AH73" i="97" s="1"/>
  <c r="AG73" i="97" s="1"/>
  <c r="M10" i="97"/>
  <c r="M73" i="97"/>
  <c r="I157" i="97"/>
  <c r="M62" i="97"/>
  <c r="M78" i="97"/>
  <c r="M74" i="97"/>
  <c r="M174" i="97" s="1"/>
  <c r="M68" i="97"/>
  <c r="M173" i="97" s="1"/>
  <c r="M63" i="97"/>
  <c r="M59" i="97"/>
  <c r="M55" i="97"/>
  <c r="M51" i="97"/>
  <c r="M46" i="97"/>
  <c r="M42" i="97"/>
  <c r="M38" i="97"/>
  <c r="M34" i="97"/>
  <c r="M30" i="97"/>
  <c r="M26" i="97"/>
  <c r="M22" i="97"/>
  <c r="M18" i="97"/>
  <c r="M13" i="97"/>
  <c r="M81" i="97"/>
  <c r="M77" i="97"/>
  <c r="M67" i="97"/>
  <c r="M54" i="97"/>
  <c r="M33" i="97"/>
  <c r="M80" i="97"/>
  <c r="M70" i="97"/>
  <c r="M65" i="97"/>
  <c r="M61" i="97"/>
  <c r="M57" i="97"/>
  <c r="M53" i="97"/>
  <c r="M48" i="97"/>
  <c r="M44" i="97"/>
  <c r="M40" i="97"/>
  <c r="M36" i="97"/>
  <c r="M32" i="97"/>
  <c r="M24" i="97"/>
  <c r="M20" i="97"/>
  <c r="M15" i="97"/>
  <c r="M11" i="97"/>
  <c r="M82" i="97"/>
  <c r="M72" i="97"/>
  <c r="M58" i="97"/>
  <c r="M50" i="97"/>
  <c r="M45" i="97"/>
  <c r="M41" i="97"/>
  <c r="M37" i="97"/>
  <c r="M29" i="97"/>
  <c r="M25" i="97"/>
  <c r="M21" i="97"/>
  <c r="M17" i="97"/>
  <c r="M12" i="97"/>
  <c r="DN9" i="97"/>
  <c r="DN175" i="97" s="1"/>
  <c r="M79" i="97"/>
  <c r="M75" i="97"/>
  <c r="M69" i="97"/>
  <c r="M64" i="97"/>
  <c r="M60" i="97"/>
  <c r="M56" i="97"/>
  <c r="M52" i="97"/>
  <c r="M47" i="97"/>
  <c r="M43" i="97"/>
  <c r="M39" i="97"/>
  <c r="M35" i="97"/>
  <c r="M31" i="97"/>
  <c r="M23" i="97"/>
  <c r="M19" i="97"/>
  <c r="M14" i="97"/>
  <c r="I101" i="97"/>
  <c r="K41" i="97"/>
  <c r="K33" i="97"/>
  <c r="AJ157" i="97"/>
  <c r="K68" i="97"/>
  <c r="K173" i="97" s="1"/>
  <c r="AJ116" i="97"/>
  <c r="AJ96" i="97"/>
  <c r="AJ100" i="97"/>
  <c r="AJ104" i="97"/>
  <c r="AJ108" i="97"/>
  <c r="AJ120" i="97"/>
  <c r="AJ124" i="97"/>
  <c r="AJ128" i="97"/>
  <c r="AJ132" i="97"/>
  <c r="AJ136" i="97"/>
  <c r="AJ140" i="97"/>
  <c r="AJ144" i="97"/>
  <c r="AJ148" i="97"/>
  <c r="AJ152" i="97"/>
  <c r="AJ156" i="97"/>
  <c r="AJ160" i="97"/>
  <c r="AJ164" i="97"/>
  <c r="AJ97" i="97"/>
  <c r="AJ105" i="97"/>
  <c r="AJ109" i="97"/>
  <c r="AJ117" i="97"/>
  <c r="AJ121" i="97"/>
  <c r="AJ125" i="97"/>
  <c r="AJ129" i="97"/>
  <c r="AJ133" i="97"/>
  <c r="AJ137" i="97"/>
  <c r="AJ141" i="97"/>
  <c r="AJ145" i="97"/>
  <c r="AJ149" i="97"/>
  <c r="AJ153" i="97"/>
  <c r="AJ161" i="97"/>
  <c r="AJ98" i="97"/>
  <c r="AJ95" i="97"/>
  <c r="AJ102" i="97"/>
  <c r="AJ106" i="97"/>
  <c r="AJ110" i="97"/>
  <c r="AJ114" i="97"/>
  <c r="AJ118" i="97"/>
  <c r="AJ122" i="97"/>
  <c r="AJ126" i="97"/>
  <c r="AJ130" i="97"/>
  <c r="AJ138" i="97"/>
  <c r="AJ142" i="97"/>
  <c r="AJ146" i="97"/>
  <c r="AJ150" i="97"/>
  <c r="AJ154" i="97"/>
  <c r="AJ158" i="97"/>
  <c r="AJ162" i="97"/>
  <c r="AJ166" i="97"/>
  <c r="AJ99" i="97"/>
  <c r="AJ103" i="97"/>
  <c r="AJ107" i="97"/>
  <c r="AJ111" i="97"/>
  <c r="AJ115" i="97"/>
  <c r="AJ119" i="97"/>
  <c r="AJ123" i="97"/>
  <c r="AJ127" i="97"/>
  <c r="AJ131" i="97"/>
  <c r="AJ135" i="97"/>
  <c r="AJ139" i="97"/>
  <c r="AJ143" i="97"/>
  <c r="AJ147" i="97"/>
  <c r="AJ151" i="97"/>
  <c r="AJ159" i="97"/>
  <c r="AJ163" i="97"/>
  <c r="J33" i="97"/>
  <c r="J41" i="97"/>
  <c r="J68" i="97"/>
  <c r="J173" i="97" s="1"/>
  <c r="M76" i="97"/>
  <c r="CJ9" i="97"/>
  <c r="CJ175" i="97" s="1"/>
  <c r="AB160" i="97"/>
  <c r="L174" i="97"/>
  <c r="I165" i="97"/>
  <c r="BT9" i="97"/>
  <c r="BT175" i="97" s="1"/>
  <c r="J42" i="97"/>
  <c r="K38" i="97"/>
  <c r="K22" i="97"/>
  <c r="K36" i="97"/>
  <c r="K48" i="97"/>
  <c r="K39" i="97"/>
  <c r="K55" i="97"/>
  <c r="K50" i="97"/>
  <c r="K82" i="97"/>
  <c r="K59" i="97"/>
  <c r="BS9" i="97"/>
  <c r="BS175" i="97" s="1"/>
  <c r="K10" i="97"/>
  <c r="K32" i="97"/>
  <c r="K11" i="97"/>
  <c r="K81" i="97"/>
  <c r="K69" i="97"/>
  <c r="K24" i="97"/>
  <c r="K74" i="97"/>
  <c r="K174" i="97" s="1"/>
  <c r="K19" i="97"/>
  <c r="K57" i="97"/>
  <c r="K25" i="97"/>
  <c r="K40" i="97"/>
  <c r="K60" i="97"/>
  <c r="K37" i="97"/>
  <c r="K51" i="97"/>
  <c r="K44" i="97"/>
  <c r="K61" i="97"/>
  <c r="K77" i="97"/>
  <c r="K31" i="97"/>
  <c r="K26" i="97"/>
  <c r="K67" i="97"/>
  <c r="K46" i="97"/>
  <c r="K45" i="97"/>
  <c r="K21" i="97"/>
  <c r="K62" i="97"/>
  <c r="K54" i="97"/>
  <c r="K42" i="97"/>
  <c r="K70" i="97"/>
  <c r="K75" i="97"/>
  <c r="K34" i="97"/>
  <c r="K14" i="97"/>
  <c r="K78" i="97"/>
  <c r="K65" i="97"/>
  <c r="K76" i="97"/>
  <c r="K47" i="97"/>
  <c r="K23" i="97"/>
  <c r="K80" i="97"/>
  <c r="K63" i="97"/>
  <c r="K43" i="97"/>
  <c r="K16" i="97"/>
  <c r="K35" i="97"/>
  <c r="Y157" i="97"/>
  <c r="K73" i="97"/>
  <c r="K79" i="97"/>
  <c r="K20" i="97"/>
  <c r="K29" i="97"/>
  <c r="K72" i="97"/>
  <c r="K18" i="97"/>
  <c r="K13" i="97"/>
  <c r="K17" i="97"/>
  <c r="K56" i="97"/>
  <c r="K12" i="97"/>
  <c r="K30" i="97"/>
  <c r="K58" i="97"/>
  <c r="K15" i="97"/>
  <c r="K64" i="97"/>
  <c r="Y96" i="97"/>
  <c r="Y104" i="97"/>
  <c r="Y112" i="97"/>
  <c r="Y120" i="97"/>
  <c r="Y128" i="97"/>
  <c r="Y136" i="97"/>
  <c r="Y144" i="97"/>
  <c r="Y148" i="97"/>
  <c r="Y156" i="97"/>
  <c r="Y160" i="97"/>
  <c r="Y109" i="97"/>
  <c r="Y100" i="97"/>
  <c r="Y108" i="97"/>
  <c r="Y116" i="97"/>
  <c r="Y124" i="97"/>
  <c r="Y132" i="97"/>
  <c r="Y140" i="97"/>
  <c r="Y164" i="97"/>
  <c r="Y97" i="97"/>
  <c r="Y105" i="97"/>
  <c r="Y113" i="97"/>
  <c r="Y117" i="97"/>
  <c r="Y121" i="97"/>
  <c r="Y125" i="97"/>
  <c r="Y129" i="97"/>
  <c r="Y133" i="97"/>
  <c r="Y137" i="97"/>
  <c r="Y141" i="97"/>
  <c r="Y145" i="97"/>
  <c r="Y149" i="97"/>
  <c r="Y153" i="97"/>
  <c r="J73" i="97"/>
  <c r="Y95" i="97"/>
  <c r="Y161" i="97"/>
  <c r="Y98" i="97"/>
  <c r="Y102" i="97"/>
  <c r="Y106" i="97"/>
  <c r="Y110" i="97"/>
  <c r="Y114" i="97"/>
  <c r="Y122" i="97"/>
  <c r="Y130" i="97"/>
  <c r="Y134" i="97"/>
  <c r="Y138" i="97"/>
  <c r="Y142" i="97"/>
  <c r="Y146" i="97"/>
  <c r="Y150" i="97"/>
  <c r="J65" i="97"/>
  <c r="Y154" i="97"/>
  <c r="Y158" i="97"/>
  <c r="Y162" i="97"/>
  <c r="Y166" i="97"/>
  <c r="Y99" i="97"/>
  <c r="Y103" i="97"/>
  <c r="Y107" i="97"/>
  <c r="Y111" i="97"/>
  <c r="Y115" i="97"/>
  <c r="Y119" i="97"/>
  <c r="Y123" i="97"/>
  <c r="Y127" i="97"/>
  <c r="Y131" i="97"/>
  <c r="Y135" i="97"/>
  <c r="Y139" i="97"/>
  <c r="Y143" i="97"/>
  <c r="Y147" i="97"/>
  <c r="Y151" i="97"/>
  <c r="Y159" i="97"/>
  <c r="Y163" i="97"/>
  <c r="J54" i="97"/>
  <c r="J46" i="97"/>
  <c r="J34" i="97"/>
  <c r="J14" i="97"/>
  <c r="J74" i="97"/>
  <c r="J174" i="97" s="1"/>
  <c r="J61" i="97"/>
  <c r="J37" i="97"/>
  <c r="J21" i="97"/>
  <c r="J13" i="97"/>
  <c r="J64" i="97"/>
  <c r="J47" i="97"/>
  <c r="J15" i="97"/>
  <c r="J12" i="97"/>
  <c r="J39" i="97"/>
  <c r="J24" i="97"/>
  <c r="J59" i="97"/>
  <c r="J75" i="97"/>
  <c r="J62" i="97"/>
  <c r="J50" i="97"/>
  <c r="J38" i="97"/>
  <c r="J30" i="97"/>
  <c r="J18" i="97"/>
  <c r="J78" i="97"/>
  <c r="J70" i="97"/>
  <c r="J57" i="97"/>
  <c r="J45" i="97"/>
  <c r="J29" i="97"/>
  <c r="J17" i="97"/>
  <c r="J69" i="97"/>
  <c r="J56" i="97"/>
  <c r="J40" i="97"/>
  <c r="J20" i="97"/>
  <c r="J35" i="97"/>
  <c r="J67" i="97"/>
  <c r="J22" i="97"/>
  <c r="J63" i="97"/>
  <c r="J81" i="97"/>
  <c r="J36" i="97"/>
  <c r="J80" i="97"/>
  <c r="J31" i="97"/>
  <c r="J76" i="97"/>
  <c r="J51" i="97"/>
  <c r="J19" i="97"/>
  <c r="J32" i="97"/>
  <c r="J48" i="97"/>
  <c r="J55" i="97"/>
  <c r="J79" i="97"/>
  <c r="J58" i="97"/>
  <c r="J26" i="97"/>
  <c r="J82" i="97"/>
  <c r="J25" i="97"/>
  <c r="J77" i="97"/>
  <c r="J44" i="97"/>
  <c r="J23" i="97"/>
  <c r="J72" i="97"/>
  <c r="J43" i="97"/>
  <c r="J11" i="97"/>
  <c r="J60" i="97"/>
  <c r="J10" i="97"/>
  <c r="BQ9" i="97"/>
  <c r="BQ175" i="97" s="1"/>
  <c r="BO9" i="97"/>
  <c r="BO175" i="97" s="1"/>
  <c r="BN9" i="97"/>
  <c r="BN175" i="97" s="1"/>
  <c r="BL9" i="97"/>
  <c r="BL175" i="97" s="1"/>
  <c r="M85" i="97"/>
  <c r="AY74" i="97"/>
  <c r="F74" i="97" s="1"/>
  <c r="F174" i="97" s="1"/>
  <c r="G74" i="97"/>
  <c r="G174" i="97" s="1"/>
  <c r="H74" i="97"/>
  <c r="H174" i="97" s="1"/>
  <c r="I74" i="97"/>
  <c r="I174" i="97" s="1"/>
  <c r="AZ174" i="97"/>
  <c r="BA174" i="97"/>
  <c r="BB174" i="97"/>
  <c r="N7" i="98"/>
  <c r="Q7" i="98"/>
  <c r="J40" i="99"/>
  <c r="J72" i="99"/>
  <c r="J21" i="99"/>
  <c r="L26" i="99"/>
  <c r="L84" i="99"/>
  <c r="H51" i="99"/>
  <c r="K10" i="99"/>
  <c r="L19" i="99"/>
  <c r="M31" i="99"/>
  <c r="G44" i="99"/>
  <c r="G55" i="99"/>
  <c r="H70" i="99"/>
  <c r="H11" i="99"/>
  <c r="J32" i="99"/>
  <c r="K44" i="99"/>
  <c r="L55" i="99"/>
  <c r="G71" i="99"/>
  <c r="J13" i="99"/>
  <c r="G14" i="99"/>
  <c r="AG43" i="97" s="1"/>
  <c r="H26" i="99"/>
  <c r="I35" i="99"/>
  <c r="J47" i="99"/>
  <c r="K62" i="99"/>
  <c r="L81" i="99"/>
  <c r="H10" i="99"/>
  <c r="J12" i="99"/>
  <c r="J16" i="99"/>
  <c r="L18" i="99"/>
  <c r="G21" i="99"/>
  <c r="I26" i="99"/>
  <c r="K28" i="99"/>
  <c r="M30" i="99"/>
  <c r="H33" i="99"/>
  <c r="J35" i="99"/>
  <c r="L37" i="99"/>
  <c r="G40" i="99"/>
  <c r="I45" i="99"/>
  <c r="K47" i="99"/>
  <c r="K50" i="99"/>
  <c r="L53" i="99"/>
  <c r="L56" i="99"/>
  <c r="L62" i="99"/>
  <c r="M65" i="99"/>
  <c r="M68" i="99"/>
  <c r="M71" i="99"/>
  <c r="J82" i="99"/>
  <c r="K94" i="99"/>
  <c r="M152" i="99"/>
  <c r="I145" i="99"/>
  <c r="L140" i="99"/>
  <c r="H136" i="99"/>
  <c r="K128" i="99"/>
  <c r="G124" i="99"/>
  <c r="J119" i="99"/>
  <c r="M111" i="99"/>
  <c r="I108" i="99"/>
  <c r="G106" i="99"/>
  <c r="L103" i="99"/>
  <c r="J101" i="99"/>
  <c r="M162" i="99"/>
  <c r="I158" i="99"/>
  <c r="L153" i="99"/>
  <c r="H146" i="99"/>
  <c r="K141" i="99"/>
  <c r="G137" i="99"/>
  <c r="J129" i="99"/>
  <c r="M124" i="99"/>
  <c r="I120" i="99"/>
  <c r="L112" i="99"/>
  <c r="L108" i="99"/>
  <c r="J106" i="99"/>
  <c r="H104" i="99"/>
  <c r="M101" i="99"/>
  <c r="K99" i="99"/>
  <c r="I94" i="99"/>
  <c r="G92" i="99"/>
  <c r="L89" i="99"/>
  <c r="J87" i="99"/>
  <c r="H85" i="99"/>
  <c r="M82" i="99"/>
  <c r="G147" i="99"/>
  <c r="J142" i="99"/>
  <c r="M137" i="99"/>
  <c r="I130" i="99"/>
  <c r="L125" i="99"/>
  <c r="H121" i="99"/>
  <c r="K116" i="99"/>
  <c r="H109" i="99"/>
  <c r="M106" i="99"/>
  <c r="K104" i="99"/>
  <c r="I102" i="99"/>
  <c r="K156" i="99"/>
  <c r="I135" i="99"/>
  <c r="G111" i="99"/>
  <c r="H101" i="99"/>
  <c r="H98" i="99"/>
  <c r="H92" i="99"/>
  <c r="G89" i="99"/>
  <c r="G86" i="99"/>
  <c r="G83" i="99"/>
  <c r="J80" i="99"/>
  <c r="H75" i="99"/>
  <c r="M72" i="99"/>
  <c r="M147" i="99"/>
  <c r="K126" i="99"/>
  <c r="I107" i="99"/>
  <c r="I100" i="99"/>
  <c r="H94" i="99"/>
  <c r="H91" i="99"/>
  <c r="H88" i="99"/>
  <c r="G85" i="99"/>
  <c r="G82" i="99"/>
  <c r="L76" i="99"/>
  <c r="J74" i="99"/>
  <c r="M158" i="99"/>
  <c r="K137" i="99"/>
  <c r="I116" i="99"/>
  <c r="H102" i="99"/>
  <c r="K98" i="99"/>
  <c r="J92" i="99"/>
  <c r="J89" i="99"/>
  <c r="J86" i="99"/>
  <c r="I83" i="99"/>
  <c r="L80" i="99"/>
  <c r="J75" i="99"/>
  <c r="H73" i="99"/>
  <c r="N73" i="99" s="1"/>
  <c r="M70" i="99"/>
  <c r="K68" i="99"/>
  <c r="I66" i="99"/>
  <c r="G64" i="99"/>
  <c r="L58" i="99"/>
  <c r="J56" i="99"/>
  <c r="H54" i="99"/>
  <c r="M51" i="99"/>
  <c r="K49" i="99"/>
  <c r="K9" i="99"/>
  <c r="K12" i="99"/>
  <c r="G16" i="99"/>
  <c r="I18" i="99"/>
  <c r="K20" i="99"/>
  <c r="M22" i="99"/>
  <c r="H28" i="99"/>
  <c r="J30" i="99"/>
  <c r="L32" i="99"/>
  <c r="G35" i="99"/>
  <c r="I37" i="99"/>
  <c r="K39" i="99"/>
  <c r="M44" i="99"/>
  <c r="H47" i="99"/>
  <c r="N47" i="99" s="1"/>
  <c r="H153" i="99"/>
  <c r="H19" i="99"/>
  <c r="K33" i="99"/>
  <c r="M35" i="99"/>
  <c r="M16" i="99"/>
  <c r="J66" i="99"/>
  <c r="M12" i="99"/>
  <c r="G22" i="99"/>
  <c r="H34" i="99"/>
  <c r="I46" i="99"/>
  <c r="G58" i="99"/>
  <c r="H74" i="99"/>
  <c r="G18" i="99"/>
  <c r="L34" i="99"/>
  <c r="M46" i="99"/>
  <c r="M58" i="99"/>
  <c r="J76" i="99"/>
  <c r="I20" i="99"/>
  <c r="I16" i="99"/>
  <c r="J28" i="99"/>
  <c r="K37" i="99"/>
  <c r="J50" i="99"/>
  <c r="K65" i="99"/>
  <c r="M93" i="99"/>
  <c r="L10" i="99"/>
  <c r="G13" i="99"/>
  <c r="G17" i="99"/>
  <c r="I19" i="99"/>
  <c r="K21" i="99"/>
  <c r="M26" i="99"/>
  <c r="H29" i="99"/>
  <c r="J31" i="99"/>
  <c r="L33" i="99"/>
  <c r="G36" i="99"/>
  <c r="I38" i="99"/>
  <c r="K40" i="99"/>
  <c r="N40" i="99" s="1"/>
  <c r="M45" i="99"/>
  <c r="I48" i="99"/>
  <c r="J51" i="99"/>
  <c r="J54" i="99"/>
  <c r="J57" i="99"/>
  <c r="K63" i="99"/>
  <c r="K66" i="99"/>
  <c r="K69" i="99"/>
  <c r="L72" i="99"/>
  <c r="J85" i="99"/>
  <c r="K100" i="99"/>
  <c r="L148" i="99"/>
  <c r="H144" i="99"/>
  <c r="K139" i="99"/>
  <c r="G135" i="99"/>
  <c r="J127" i="99"/>
  <c r="M122" i="99"/>
  <c r="I118" i="99"/>
  <c r="L110" i="99"/>
  <c r="L107" i="99"/>
  <c r="J105" i="99"/>
  <c r="H103" i="99"/>
  <c r="I166" i="99"/>
  <c r="L161" i="99"/>
  <c r="N161" i="99" s="1"/>
  <c r="H157" i="99"/>
  <c r="N157" i="99" s="1"/>
  <c r="K152" i="99"/>
  <c r="M166" i="99"/>
  <c r="I54" i="99"/>
  <c r="J69" i="99"/>
  <c r="L45" i="99"/>
  <c r="H48" i="99"/>
  <c r="G29" i="99"/>
  <c r="M99" i="99"/>
  <c r="H15" i="99"/>
  <c r="I27" i="99"/>
  <c r="J36" i="99"/>
  <c r="M48" i="99"/>
  <c r="H64" i="99"/>
  <c r="L87" i="99"/>
  <c r="K22" i="99"/>
  <c r="G37" i="99"/>
  <c r="L49" i="99"/>
  <c r="M64" i="99"/>
  <c r="L90" i="99"/>
  <c r="J9" i="99"/>
  <c r="K18" i="99"/>
  <c r="L30" i="99"/>
  <c r="M39" i="99"/>
  <c r="J53" i="99"/>
  <c r="N53" i="99" s="1"/>
  <c r="L68" i="99"/>
  <c r="K145" i="99"/>
  <c r="I11" i="99"/>
  <c r="K13" i="99"/>
  <c r="K17" i="99"/>
  <c r="M19" i="99"/>
  <c r="H22" i="99"/>
  <c r="J27" i="99"/>
  <c r="L29" i="99"/>
  <c r="G32" i="99"/>
  <c r="I34" i="99"/>
  <c r="K36" i="99"/>
  <c r="M38" i="99"/>
  <c r="H44" i="99"/>
  <c r="J46" i="99"/>
  <c r="H49" i="99"/>
  <c r="H52" i="99"/>
  <c r="H55" i="99"/>
  <c r="N55" i="99" s="1"/>
  <c r="I58" i="99"/>
  <c r="I64" i="99"/>
  <c r="I67" i="99"/>
  <c r="J70" i="99"/>
  <c r="L74" i="99"/>
  <c r="J88" i="99"/>
  <c r="J108" i="99"/>
  <c r="K147" i="99"/>
  <c r="G143" i="99"/>
  <c r="N143" i="99" s="1"/>
  <c r="J138" i="99"/>
  <c r="M130" i="99"/>
  <c r="I126" i="99"/>
  <c r="L121" i="99"/>
  <c r="H117" i="99"/>
  <c r="K109" i="99"/>
  <c r="H107" i="99"/>
  <c r="M104" i="99"/>
  <c r="K102" i="99"/>
  <c r="H165" i="99"/>
  <c r="N165" i="99" s="1"/>
  <c r="K160" i="99"/>
  <c r="N160" i="99" s="1"/>
  <c r="G156" i="99"/>
  <c r="N156" i="99" s="1"/>
  <c r="H47" i="106"/>
  <c r="H44" i="106"/>
  <c r="H50" i="106"/>
  <c r="DI27" i="97" s="1"/>
  <c r="H46" i="106"/>
  <c r="H51" i="106"/>
  <c r="I152" i="99"/>
  <c r="K84" i="99"/>
  <c r="N84" i="99" s="1"/>
  <c r="G88" i="99"/>
  <c r="M90" i="99"/>
  <c r="L93" i="99"/>
  <c r="H100" i="99"/>
  <c r="G103" i="99"/>
  <c r="M105" i="99"/>
  <c r="N105" i="99" s="1"/>
  <c r="I109" i="99"/>
  <c r="G118" i="99"/>
  <c r="L123" i="99"/>
  <c r="N123" i="99" s="1"/>
  <c r="K130" i="99"/>
  <c r="I139" i="99"/>
  <c r="G145" i="99"/>
  <c r="J159" i="99"/>
  <c r="N159" i="99" s="1"/>
  <c r="K106" i="99"/>
  <c r="H125" i="99"/>
  <c r="N125" i="99" s="1"/>
  <c r="J146" i="99"/>
  <c r="N146" i="99" s="1"/>
  <c r="H71" i="99"/>
  <c r="G56" i="99"/>
  <c r="L44" i="99"/>
  <c r="K32" i="99"/>
  <c r="N32" i="99" s="1"/>
  <c r="J20" i="99"/>
  <c r="J8" i="99"/>
  <c r="G33" i="99"/>
  <c r="M67" i="99"/>
  <c r="H106" i="99"/>
  <c r="K29" i="99"/>
  <c r="I63" i="99"/>
  <c r="I31" i="99"/>
  <c r="M7" i="98"/>
  <c r="H129" i="99"/>
  <c r="G139" i="99"/>
  <c r="N139" i="99" s="1"/>
  <c r="L144" i="99"/>
  <c r="I82" i="99"/>
  <c r="N82" i="99" s="1"/>
  <c r="L85" i="99"/>
  <c r="K88" i="99"/>
  <c r="J91" i="99"/>
  <c r="M94" i="99"/>
  <c r="N94" i="99" s="1"/>
  <c r="L100" i="99"/>
  <c r="K103" i="99"/>
  <c r="G107" i="99"/>
  <c r="J110" i="99"/>
  <c r="H119" i="99"/>
  <c r="G126" i="99"/>
  <c r="L134" i="99"/>
  <c r="N134" i="99" s="1"/>
  <c r="J140" i="99"/>
  <c r="N140" i="99" s="1"/>
  <c r="I147" i="99"/>
  <c r="G164" i="99"/>
  <c r="N164" i="99" s="1"/>
  <c r="M108" i="99"/>
  <c r="L129" i="99"/>
  <c r="M128" i="99"/>
  <c r="H68" i="99"/>
  <c r="M52" i="99"/>
  <c r="J39" i="99"/>
  <c r="I30" i="99"/>
  <c r="H18" i="99"/>
  <c r="L71" i="99"/>
  <c r="M20" i="99"/>
  <c r="L52" i="99"/>
  <c r="H67" i="99"/>
  <c r="J17" i="99"/>
  <c r="I57" i="99"/>
  <c r="S8" i="98"/>
  <c r="M145" i="99"/>
  <c r="J83" i="99"/>
  <c r="N83" i="99" s="1"/>
  <c r="I86" i="99"/>
  <c r="H89" i="99"/>
  <c r="K92" i="99"/>
  <c r="J98" i="99"/>
  <c r="N98" i="99" s="1"/>
  <c r="I101" i="99"/>
  <c r="N101" i="99" s="1"/>
  <c r="L104" i="99"/>
  <c r="K107" i="99"/>
  <c r="K111" i="99"/>
  <c r="J121" i="99"/>
  <c r="N121" i="99" s="1"/>
  <c r="H127" i="99"/>
  <c r="M135" i="99"/>
  <c r="L142" i="99"/>
  <c r="J148" i="99"/>
  <c r="N148" i="99" s="1"/>
  <c r="G102" i="99"/>
  <c r="N102" i="99" s="1"/>
  <c r="G116" i="99"/>
  <c r="I137" i="99"/>
  <c r="K91" i="99"/>
  <c r="G65" i="99"/>
  <c r="M49" i="99"/>
  <c r="H37" i="99"/>
  <c r="G28" i="99"/>
  <c r="I15" i="99"/>
  <c r="K56" i="99"/>
  <c r="L11" i="99"/>
  <c r="I39" i="99"/>
  <c r="G52" i="99"/>
  <c r="I8" i="99"/>
  <c r="I12" i="99"/>
  <c r="P1087" i="99"/>
  <c r="P1056" i="99"/>
  <c r="P1021" i="99"/>
  <c r="P1038" i="99"/>
  <c r="P1055" i="99"/>
  <c r="P1075" i="99"/>
  <c r="P1026" i="99"/>
  <c r="L8" i="99"/>
  <c r="AL10" i="97" s="1"/>
  <c r="L15" i="99"/>
  <c r="AL48" i="97" s="1"/>
  <c r="M27" i="99"/>
  <c r="AM13" i="97" s="1"/>
  <c r="I13" i="97" s="1"/>
  <c r="M15" i="99"/>
  <c r="AM48" i="97" s="1"/>
  <c r="I48" i="97" s="1"/>
  <c r="K8" i="99"/>
  <c r="AK10" i="97" s="1"/>
  <c r="K15" i="99"/>
  <c r="AK48" i="97" s="1"/>
  <c r="J14" i="99"/>
  <c r="AJ43" i="97" s="1"/>
  <c r="I14" i="99"/>
  <c r="AI43" i="97" s="1"/>
  <c r="H14" i="99"/>
  <c r="AH43" i="97" s="1"/>
  <c r="D43" i="97" s="1"/>
  <c r="L14" i="99"/>
  <c r="AL43" i="97" s="1"/>
  <c r="M8" i="99"/>
  <c r="AM10" i="97" s="1"/>
  <c r="I10" i="97" s="1"/>
  <c r="M14" i="99"/>
  <c r="AM43" i="97" s="1"/>
  <c r="I43" i="97" s="1"/>
  <c r="K14" i="99"/>
  <c r="AK43" i="97" s="1"/>
  <c r="G43" i="97" s="1"/>
  <c r="R7" i="98"/>
  <c r="N1086" i="99"/>
  <c r="N1038" i="99"/>
  <c r="N1079" i="99"/>
  <c r="N1021" i="99"/>
  <c r="N1042" i="99"/>
  <c r="N1060" i="99"/>
  <c r="N1078" i="99"/>
  <c r="N1043" i="99"/>
  <c r="N1075" i="99"/>
  <c r="N1082" i="99"/>
  <c r="N1047" i="99"/>
  <c r="N1014" i="99"/>
  <c r="N1025" i="99"/>
  <c r="N1046" i="99"/>
  <c r="N1066" i="99"/>
  <c r="N1087" i="99"/>
  <c r="N1051" i="99"/>
  <c r="N1083" i="99"/>
  <c r="N1055" i="99"/>
  <c r="P1088" i="99"/>
  <c r="N1029" i="99"/>
  <c r="N1050" i="99"/>
  <c r="N1070" i="99"/>
  <c r="N1018" i="99"/>
  <c r="N1061" i="99"/>
  <c r="DJ85" i="97"/>
  <c r="DI85" i="97" s="1"/>
  <c r="DH85" i="97" s="1"/>
  <c r="DG85" i="97" s="1"/>
  <c r="DF85" i="97" s="1"/>
  <c r="DE85" i="97" s="1"/>
  <c r="DD85" i="97" s="1"/>
  <c r="AD36" i="109"/>
  <c r="I36" i="109"/>
  <c r="DN86" i="97" s="1"/>
  <c r="DO86" i="97" s="1"/>
  <c r="DP85" i="97"/>
  <c r="DO85" i="97" s="1"/>
  <c r="CL85" i="97"/>
  <c r="CK85" i="97" s="1"/>
  <c r="G36" i="109"/>
  <c r="G37" i="109" s="1"/>
  <c r="G60" i="109" s="1"/>
  <c r="G66" i="109" s="1"/>
  <c r="CW85" i="97"/>
  <c r="CX85" i="97" s="1"/>
  <c r="S36" i="109"/>
  <c r="P87" i="110"/>
  <c r="N88" i="110"/>
  <c r="N87" i="110"/>
  <c r="Q31" i="109"/>
  <c r="R33" i="109"/>
  <c r="N31" i="109"/>
  <c r="O31" i="109"/>
  <c r="P33" i="109" s="1"/>
  <c r="BD85" i="97" s="1"/>
  <c r="BE85" i="97" s="1"/>
  <c r="S31" i="109"/>
  <c r="T33" i="109"/>
  <c r="P31" i="109"/>
  <c r="Q33" i="109" s="1"/>
  <c r="BS85" i="97" s="1"/>
  <c r="BT85" i="97" s="1"/>
  <c r="DK27" i="97"/>
  <c r="DG27" i="97"/>
  <c r="DF27" i="97" s="1"/>
  <c r="DE27" i="97" s="1"/>
  <c r="DD27" i="97" s="1"/>
  <c r="DH27" i="97"/>
  <c r="DJ27" i="97"/>
  <c r="U33" i="109"/>
  <c r="CW86" i="97"/>
  <c r="CX86" i="97" s="1"/>
  <c r="S37" i="109"/>
  <c r="S63" i="109" s="1"/>
  <c r="T82" i="97"/>
  <c r="N99" i="99"/>
  <c r="CP10" i="97"/>
  <c r="S61" i="109"/>
  <c r="N62" i="99"/>
  <c r="N122" i="99"/>
  <c r="N80" i="99"/>
  <c r="N141" i="99"/>
  <c r="N81" i="99"/>
  <c r="N163" i="99"/>
  <c r="AZ81" i="97"/>
  <c r="AY81" i="97" s="1"/>
  <c r="BB9" i="97"/>
  <c r="I81" i="97"/>
  <c r="N120" i="99"/>
  <c r="N155" i="99"/>
  <c r="N136" i="99"/>
  <c r="N154" i="99"/>
  <c r="AS85" i="97" l="1"/>
  <c r="D36" i="109"/>
  <c r="D37" i="109" s="1"/>
  <c r="O8" i="106"/>
  <c r="D7" i="106"/>
  <c r="E7" i="106"/>
  <c r="J7" i="106"/>
  <c r="H7" i="106"/>
  <c r="K7" i="106"/>
  <c r="G7" i="106"/>
  <c r="C7" i="106"/>
  <c r="F7" i="106"/>
  <c r="I7" i="106"/>
  <c r="BW85" i="97"/>
  <c r="F36" i="109"/>
  <c r="BU86" i="97" s="1"/>
  <c r="F37" i="109"/>
  <c r="L82" i="110"/>
  <c r="M85" i="110"/>
  <c r="M86" i="110" s="1"/>
  <c r="AA55" i="109"/>
  <c r="BR9" i="97"/>
  <c r="BR175" i="97" s="1"/>
  <c r="J16" i="97"/>
  <c r="J17" i="106"/>
  <c r="F17" i="106"/>
  <c r="G69" i="106" s="1"/>
  <c r="O17" i="106"/>
  <c r="P69" i="106" s="1"/>
  <c r="G17" i="106"/>
  <c r="D17" i="106"/>
  <c r="C17" i="106"/>
  <c r="H17" i="106"/>
  <c r="K17" i="106"/>
  <c r="E17" i="106"/>
  <c r="I17" i="106"/>
  <c r="Y53" i="109"/>
  <c r="Y50" i="109"/>
  <c r="Z31" i="109"/>
  <c r="AA33" i="109" s="1"/>
  <c r="P1062" i="99"/>
  <c r="P1049" i="99"/>
  <c r="P1086" i="99"/>
  <c r="P1042" i="99"/>
  <c r="P1078" i="99"/>
  <c r="P1025" i="99"/>
  <c r="P1083" i="99"/>
  <c r="N1076" i="99"/>
  <c r="I37" i="109"/>
  <c r="I33" i="97"/>
  <c r="P1080" i="99"/>
  <c r="P1053" i="99"/>
  <c r="P1039" i="99"/>
  <c r="P1046" i="99"/>
  <c r="P1082" i="99"/>
  <c r="P1029" i="99"/>
  <c r="P1052" i="99"/>
  <c r="N1020" i="99"/>
  <c r="N1032" i="99"/>
  <c r="L30" i="106"/>
  <c r="Y48" i="109"/>
  <c r="Y55" i="109" s="1"/>
  <c r="Y49" i="109"/>
  <c r="K31" i="109"/>
  <c r="AB31" i="109"/>
  <c r="AC33" i="109" s="1"/>
  <c r="L32" i="106"/>
  <c r="O32" i="106" s="1"/>
  <c r="S10" i="98"/>
  <c r="X51" i="98"/>
  <c r="P1019" i="99"/>
  <c r="P1057" i="99"/>
  <c r="P1076" i="99"/>
  <c r="P1050" i="99"/>
  <c r="P1022" i="99"/>
  <c r="P1033" i="99"/>
  <c r="P1072" i="99"/>
  <c r="N1040" i="99"/>
  <c r="N1031" i="99"/>
  <c r="Z46" i="109"/>
  <c r="AE46" i="109"/>
  <c r="D55" i="109"/>
  <c r="S62" i="109"/>
  <c r="N63" i="99"/>
  <c r="N50" i="99"/>
  <c r="X52" i="98"/>
  <c r="P1023" i="99"/>
  <c r="P1065" i="99"/>
  <c r="P1016" i="99"/>
  <c r="P1054" i="99"/>
  <c r="P1030" i="99"/>
  <c r="P1043" i="99"/>
  <c r="N1057" i="99"/>
  <c r="E36" i="109"/>
  <c r="BF86" i="97" s="1"/>
  <c r="BG86" i="97" s="1"/>
  <c r="AE55" i="109"/>
  <c r="P7" i="98"/>
  <c r="S7" i="98" s="1"/>
  <c r="S9" i="98"/>
  <c r="N1077" i="99"/>
  <c r="X31" i="109"/>
  <c r="Y33" i="109" s="1"/>
  <c r="O86" i="110"/>
  <c r="P1036" i="99"/>
  <c r="P1073" i="99"/>
  <c r="P1024" i="99"/>
  <c r="P1066" i="99"/>
  <c r="P1068" i="99"/>
  <c r="P1051" i="99"/>
  <c r="N1019" i="99"/>
  <c r="N1067" i="99"/>
  <c r="F57" i="109"/>
  <c r="E37" i="109"/>
  <c r="E61" i="109" s="1"/>
  <c r="L83" i="110"/>
  <c r="K83" i="110" s="1"/>
  <c r="J83" i="110" s="1"/>
  <c r="P1018" i="99"/>
  <c r="P1040" i="99"/>
  <c r="P1077" i="99"/>
  <c r="P1028" i="99"/>
  <c r="P1070" i="99"/>
  <c r="P1084" i="99"/>
  <c r="P1061" i="99"/>
  <c r="N1039" i="99"/>
  <c r="N1074" i="99"/>
  <c r="Z55" i="109"/>
  <c r="N35" i="99"/>
  <c r="N109" i="99"/>
  <c r="N152" i="99"/>
  <c r="N48" i="99"/>
  <c r="N153" i="99"/>
  <c r="BG175" i="97"/>
  <c r="AJ68" i="97"/>
  <c r="AI68" i="97" s="1"/>
  <c r="AH68" i="97" s="1"/>
  <c r="L13" i="97"/>
  <c r="CK175" i="97"/>
  <c r="P175" i="97"/>
  <c r="N39" i="99"/>
  <c r="N58" i="99"/>
  <c r="N46" i="99"/>
  <c r="N70" i="99"/>
  <c r="N72" i="99"/>
  <c r="N118" i="99"/>
  <c r="N166" i="99"/>
  <c r="N110" i="99"/>
  <c r="N9" i="99"/>
  <c r="N45" i="99"/>
  <c r="N16" i="99"/>
  <c r="N87" i="99"/>
  <c r="N26" i="99"/>
  <c r="N86" i="99"/>
  <c r="N28" i="99"/>
  <c r="N57" i="99"/>
  <c r="N74" i="99"/>
  <c r="N34" i="99"/>
  <c r="N37" i="99"/>
  <c r="N142" i="99"/>
  <c r="N111" i="99"/>
  <c r="N18" i="99"/>
  <c r="N51" i="99"/>
  <c r="N112" i="99"/>
  <c r="N75" i="99"/>
  <c r="N124" i="99"/>
  <c r="N69" i="99"/>
  <c r="N76" i="99"/>
  <c r="N158" i="99"/>
  <c r="N21" i="99"/>
  <c r="N10" i="99"/>
  <c r="N162" i="99"/>
  <c r="N19" i="99"/>
  <c r="N22" i="99"/>
  <c r="N54" i="99"/>
  <c r="N66" i="99"/>
  <c r="N116" i="99"/>
  <c r="N135" i="99"/>
  <c r="N93" i="99"/>
  <c r="N38" i="99"/>
  <c r="N92" i="99"/>
  <c r="N68" i="99"/>
  <c r="N65" i="99"/>
  <c r="N30" i="99"/>
  <c r="N128" i="99"/>
  <c r="N119" i="99"/>
  <c r="N117" i="99"/>
  <c r="N138" i="99"/>
  <c r="N12" i="99"/>
  <c r="N11" i="99"/>
  <c r="N137" i="99"/>
  <c r="N31" i="99"/>
  <c r="N127" i="99"/>
  <c r="N89" i="99"/>
  <c r="N85" i="99"/>
  <c r="N13" i="99"/>
  <c r="N44" i="99"/>
  <c r="N90" i="99"/>
  <c r="N103" i="99"/>
  <c r="N29" i="99"/>
  <c r="N64" i="99"/>
  <c r="N36" i="99"/>
  <c r="N108" i="99"/>
  <c r="N144" i="99"/>
  <c r="N33" i="99"/>
  <c r="N71" i="99"/>
  <c r="N126" i="99"/>
  <c r="N17" i="99"/>
  <c r="N130" i="99"/>
  <c r="N88" i="99"/>
  <c r="N49" i="99"/>
  <c r="N145" i="99"/>
  <c r="N106" i="99"/>
  <c r="ED175" i="97"/>
  <c r="CL27" i="97"/>
  <c r="F48" i="106" s="1"/>
  <c r="N100" i="99"/>
  <c r="J124" i="97"/>
  <c r="K124" i="97" s="1"/>
  <c r="N104" i="99"/>
  <c r="H10" i="97"/>
  <c r="J152" i="97"/>
  <c r="K152" i="97" s="1"/>
  <c r="CQ20" i="97"/>
  <c r="F20" i="97"/>
  <c r="CL9" i="97"/>
  <c r="AC175" i="97"/>
  <c r="L76" i="97"/>
  <c r="N67" i="99"/>
  <c r="I65" i="97"/>
  <c r="J107" i="97"/>
  <c r="CZ175" i="97"/>
  <c r="I55" i="97"/>
  <c r="J161" i="97"/>
  <c r="K161" i="97" s="1"/>
  <c r="L40" i="97"/>
  <c r="I78" i="97"/>
  <c r="I34" i="97"/>
  <c r="H65" i="97"/>
  <c r="F70" i="97"/>
  <c r="I21" i="97"/>
  <c r="AO52" i="97"/>
  <c r="J156" i="97"/>
  <c r="K156" i="97" s="1"/>
  <c r="J144" i="97"/>
  <c r="K144" i="97" s="1"/>
  <c r="J140" i="97"/>
  <c r="J106" i="97"/>
  <c r="K106" i="97" s="1"/>
  <c r="C46" i="97"/>
  <c r="G10" i="97"/>
  <c r="N107" i="99"/>
  <c r="I23" i="97"/>
  <c r="I44" i="97"/>
  <c r="I40" i="97"/>
  <c r="G57" i="97"/>
  <c r="I50" i="97"/>
  <c r="J135" i="97"/>
  <c r="K135" i="97" s="1"/>
  <c r="J100" i="97"/>
  <c r="K100" i="97" s="1"/>
  <c r="J96" i="97"/>
  <c r="K96" i="97" s="1"/>
  <c r="G72" i="97"/>
  <c r="H46" i="97"/>
  <c r="H57" i="97"/>
  <c r="Y175" i="97"/>
  <c r="J118" i="97"/>
  <c r="K118" i="97" s="1"/>
  <c r="J167" i="97"/>
  <c r="K167" i="97" s="1"/>
  <c r="J155" i="97"/>
  <c r="K155" i="97" s="1"/>
  <c r="J132" i="97"/>
  <c r="K132" i="97" s="1"/>
  <c r="J112" i="97"/>
  <c r="K112" i="97" s="1"/>
  <c r="J99" i="97"/>
  <c r="K99" i="97" s="1"/>
  <c r="I76" i="97"/>
  <c r="H48" i="97"/>
  <c r="I60" i="97"/>
  <c r="H16" i="97"/>
  <c r="I16" i="97"/>
  <c r="I82" i="97"/>
  <c r="I80" i="97"/>
  <c r="I64" i="97"/>
  <c r="J149" i="97"/>
  <c r="K149" i="97" s="1"/>
  <c r="J129" i="97"/>
  <c r="K129" i="97" s="1"/>
  <c r="J159" i="97"/>
  <c r="J136" i="97"/>
  <c r="K136" i="97" s="1"/>
  <c r="J119" i="97"/>
  <c r="K119" i="97" s="1"/>
  <c r="J115" i="97"/>
  <c r="K115" i="97" s="1"/>
  <c r="F80" i="97"/>
  <c r="DA175" i="97"/>
  <c r="AD175" i="97"/>
  <c r="N147" i="99"/>
  <c r="N91" i="99"/>
  <c r="N52" i="99"/>
  <c r="T63" i="97"/>
  <c r="S63" i="97" s="1"/>
  <c r="F63" i="97"/>
  <c r="AX10" i="97"/>
  <c r="AW10" i="97" s="1"/>
  <c r="AV10" i="97" s="1"/>
  <c r="F10" i="97"/>
  <c r="AX17" i="97"/>
  <c r="AW17" i="97" s="1"/>
  <c r="AV17" i="97" s="1"/>
  <c r="F17" i="97"/>
  <c r="CP47" i="97"/>
  <c r="CO47" i="97" s="1"/>
  <c r="C47" i="97" s="1"/>
  <c r="E47" i="97"/>
  <c r="AI173" i="97"/>
  <c r="BK173" i="97"/>
  <c r="BK9" i="97"/>
  <c r="V18" i="97"/>
  <c r="H18" i="97"/>
  <c r="AH25" i="97"/>
  <c r="AG25" i="97" s="1"/>
  <c r="E25" i="97"/>
  <c r="V81" i="97"/>
  <c r="H81" i="97"/>
  <c r="R23" i="97"/>
  <c r="S56" i="97"/>
  <c r="H50" i="97"/>
  <c r="V50" i="97"/>
  <c r="U50" i="97" s="1"/>
  <c r="V39" i="97"/>
  <c r="U39" i="97" s="1"/>
  <c r="T39" i="97" s="1"/>
  <c r="S39" i="97" s="1"/>
  <c r="R39" i="97" s="1"/>
  <c r="C39" i="97" s="1"/>
  <c r="H39" i="97"/>
  <c r="CS23" i="97"/>
  <c r="H23" i="97"/>
  <c r="V76" i="97"/>
  <c r="U76" i="97" s="1"/>
  <c r="T76" i="97" s="1"/>
  <c r="V54" i="97"/>
  <c r="H54" i="97"/>
  <c r="CS51" i="97"/>
  <c r="CR51" i="97" s="1"/>
  <c r="CQ51" i="97" s="1"/>
  <c r="CP51" i="97" s="1"/>
  <c r="CO51" i="97" s="1"/>
  <c r="H51" i="97"/>
  <c r="H43" i="97"/>
  <c r="G48" i="97"/>
  <c r="N20" i="99"/>
  <c r="J166" i="97"/>
  <c r="K166" i="97" s="1"/>
  <c r="J154" i="97"/>
  <c r="K154" i="97" s="1"/>
  <c r="J150" i="97"/>
  <c r="K150" i="97" s="1"/>
  <c r="J146" i="97"/>
  <c r="K146" i="97" s="1"/>
  <c r="J142" i="97"/>
  <c r="K142" i="97" s="1"/>
  <c r="J131" i="97"/>
  <c r="K131" i="97" s="1"/>
  <c r="J127" i="97"/>
  <c r="K127" i="97" s="1"/>
  <c r="G56" i="97"/>
  <c r="J120" i="97"/>
  <c r="K120" i="97" s="1"/>
  <c r="J164" i="97"/>
  <c r="K164" i="97" s="1"/>
  <c r="J158" i="97"/>
  <c r="K158" i="97" s="1"/>
  <c r="J141" i="97"/>
  <c r="K141" i="97" s="1"/>
  <c r="J130" i="97"/>
  <c r="K130" i="97" s="1"/>
  <c r="J122" i="97"/>
  <c r="K122" i="97" s="1"/>
  <c r="J97" i="97"/>
  <c r="K97" i="97" s="1"/>
  <c r="BB173" i="97"/>
  <c r="BB175" i="97" s="1"/>
  <c r="D17" i="97"/>
  <c r="DO175" i="97"/>
  <c r="CL175" i="97"/>
  <c r="BH175" i="97"/>
  <c r="E43" i="97"/>
  <c r="F26" i="97"/>
  <c r="I61" i="97"/>
  <c r="AY174" i="97"/>
  <c r="U72" i="97"/>
  <c r="G44" i="97"/>
  <c r="I25" i="97"/>
  <c r="G65" i="97"/>
  <c r="I51" i="97"/>
  <c r="I17" i="97"/>
  <c r="I18" i="97"/>
  <c r="J160" i="97"/>
  <c r="K160" i="97" s="1"/>
  <c r="J123" i="97"/>
  <c r="K123" i="97" s="1"/>
  <c r="J111" i="97"/>
  <c r="J133" i="97"/>
  <c r="K133" i="97" s="1"/>
  <c r="J113" i="97"/>
  <c r="K113" i="97" s="1"/>
  <c r="G19" i="97"/>
  <c r="BA76" i="97"/>
  <c r="AZ76" i="97" s="1"/>
  <c r="AY76" i="97" s="1"/>
  <c r="AX76" i="97" s="1"/>
  <c r="AW76" i="97" s="1"/>
  <c r="AV76" i="97" s="1"/>
  <c r="L33" i="97"/>
  <c r="L53" i="97"/>
  <c r="L50" i="97"/>
  <c r="BU173" i="97"/>
  <c r="BU175" i="97" s="1"/>
  <c r="F43" i="97"/>
  <c r="H47" i="97"/>
  <c r="I69" i="97"/>
  <c r="I83" i="97"/>
  <c r="K159" i="97"/>
  <c r="W21" i="97"/>
  <c r="V21" i="97" s="1"/>
  <c r="C78" i="97"/>
  <c r="CR56" i="97"/>
  <c r="CQ56" i="97" s="1"/>
  <c r="CP56" i="97" s="1"/>
  <c r="CO56" i="97" s="1"/>
  <c r="L43" i="97"/>
  <c r="L81" i="97"/>
  <c r="N129" i="99"/>
  <c r="N27" i="99"/>
  <c r="N56" i="99"/>
  <c r="N15" i="99"/>
  <c r="AZ173" i="97"/>
  <c r="AY68" i="97"/>
  <c r="T52" i="97"/>
  <c r="E52" i="97" s="1"/>
  <c r="F52" i="97"/>
  <c r="AZ24" i="97"/>
  <c r="AH37" i="97"/>
  <c r="AG37" i="97" s="1"/>
  <c r="U69" i="97"/>
  <c r="G69" i="97"/>
  <c r="CQ15" i="97"/>
  <c r="CP15" i="97" s="1"/>
  <c r="CO15" i="97" s="1"/>
  <c r="U58" i="97"/>
  <c r="G58" i="97"/>
  <c r="AY83" i="97"/>
  <c r="CS83" i="97"/>
  <c r="CR83" i="97" s="1"/>
  <c r="CQ83" i="97" s="1"/>
  <c r="CP83" i="97" s="1"/>
  <c r="CO83" i="97" s="1"/>
  <c r="H83" i="97"/>
  <c r="CS38" i="97"/>
  <c r="CR38" i="97" s="1"/>
  <c r="CQ38" i="97" s="1"/>
  <c r="CP38" i="97" s="1"/>
  <c r="CO38" i="97" s="1"/>
  <c r="N8" i="99"/>
  <c r="J109" i="97"/>
  <c r="K109" i="97" s="1"/>
  <c r="J105" i="97"/>
  <c r="K105" i="97" s="1"/>
  <c r="T59" i="97"/>
  <c r="S59" i="97" s="1"/>
  <c r="R59" i="97" s="1"/>
  <c r="V55" i="97"/>
  <c r="U55" i="97" s="1"/>
  <c r="T55" i="97" s="1"/>
  <c r="E55" i="97" s="1"/>
  <c r="H55" i="97"/>
  <c r="I59" i="97"/>
  <c r="BA59" i="97"/>
  <c r="AZ59" i="97" s="1"/>
  <c r="AY59" i="97" s="1"/>
  <c r="AX59" i="97" s="1"/>
  <c r="AW59" i="97" s="1"/>
  <c r="AV59" i="97" s="1"/>
  <c r="CT68" i="97"/>
  <c r="CU173" i="97"/>
  <c r="E20" i="97"/>
  <c r="M86" i="97"/>
  <c r="G47" i="97"/>
  <c r="I20" i="97"/>
  <c r="CU9" i="97"/>
  <c r="G25" i="97"/>
  <c r="I36" i="97"/>
  <c r="G17" i="97"/>
  <c r="G63" i="97"/>
  <c r="H53" i="97"/>
  <c r="H78" i="97"/>
  <c r="H45" i="97"/>
  <c r="H25" i="97"/>
  <c r="H17" i="97"/>
  <c r="H72" i="97"/>
  <c r="K163" i="97"/>
  <c r="J116" i="97"/>
  <c r="K116" i="97" s="1"/>
  <c r="C43" i="97"/>
  <c r="G13" i="97"/>
  <c r="H52" i="97"/>
  <c r="BA173" i="97"/>
  <c r="H32" i="97"/>
  <c r="F16" i="97"/>
  <c r="G20" i="97"/>
  <c r="H61" i="97"/>
  <c r="G16" i="97"/>
  <c r="I42" i="97"/>
  <c r="I58" i="97"/>
  <c r="H63" i="97"/>
  <c r="I35" i="97"/>
  <c r="H26" i="97"/>
  <c r="I11" i="97"/>
  <c r="J101" i="97"/>
  <c r="K101" i="97" s="1"/>
  <c r="AI70" i="97"/>
  <c r="J148" i="97"/>
  <c r="J121" i="97"/>
  <c r="K121" i="97" s="1"/>
  <c r="J103" i="97"/>
  <c r="K103" i="97" s="1"/>
  <c r="C62" i="97"/>
  <c r="H60" i="97"/>
  <c r="V60" i="97"/>
  <c r="U60" i="97" s="1"/>
  <c r="T60" i="97" s="1"/>
  <c r="C48" i="97"/>
  <c r="D39" i="97"/>
  <c r="V33" i="97"/>
  <c r="H33" i="97"/>
  <c r="BA37" i="97"/>
  <c r="AZ37" i="97" s="1"/>
  <c r="I37" i="97"/>
  <c r="AY34" i="97"/>
  <c r="AX34" i="97" s="1"/>
  <c r="AW34" i="97" s="1"/>
  <c r="AV34" i="97" s="1"/>
  <c r="G34" i="97"/>
  <c r="I46" i="97"/>
  <c r="F78" i="97"/>
  <c r="I32" i="97"/>
  <c r="I70" i="97"/>
  <c r="G80" i="97"/>
  <c r="G46" i="97"/>
  <c r="E26" i="97"/>
  <c r="H19" i="97"/>
  <c r="I72" i="97"/>
  <c r="H80" i="97"/>
  <c r="I77" i="97"/>
  <c r="I19" i="97"/>
  <c r="I29" i="97"/>
  <c r="I56" i="97"/>
  <c r="G62" i="97"/>
  <c r="F47" i="97"/>
  <c r="H13" i="97"/>
  <c r="H69" i="97"/>
  <c r="H56" i="97"/>
  <c r="H44" i="97"/>
  <c r="J117" i="97"/>
  <c r="K117" i="97" s="1"/>
  <c r="J102" i="97"/>
  <c r="K102" i="97" s="1"/>
  <c r="W75" i="97"/>
  <c r="V75" i="97" s="1"/>
  <c r="I75" i="97"/>
  <c r="H64" i="97"/>
  <c r="C44" i="97"/>
  <c r="H42" i="97"/>
  <c r="C32" i="97"/>
  <c r="W15" i="97"/>
  <c r="I15" i="97"/>
  <c r="BA73" i="97"/>
  <c r="I73" i="97"/>
  <c r="I63" i="97"/>
  <c r="J95" i="97"/>
  <c r="K95" i="97" s="1"/>
  <c r="J145" i="97"/>
  <c r="K145" i="97" s="1"/>
  <c r="J108" i="97"/>
  <c r="K108" i="97" s="1"/>
  <c r="J104" i="97"/>
  <c r="K104" i="97" s="1"/>
  <c r="J162" i="97"/>
  <c r="K162" i="97" s="1"/>
  <c r="J151" i="97"/>
  <c r="K151" i="97" s="1"/>
  <c r="J147" i="97"/>
  <c r="K147" i="97" s="1"/>
  <c r="J143" i="97"/>
  <c r="K143" i="97" s="1"/>
  <c r="J139" i="97"/>
  <c r="K139" i="97" s="1"/>
  <c r="J128" i="97"/>
  <c r="K128" i="97" s="1"/>
  <c r="J110" i="97"/>
  <c r="K110" i="97" s="1"/>
  <c r="J98" i="97"/>
  <c r="K98" i="97" s="1"/>
  <c r="I39" i="97"/>
  <c r="I30" i="97"/>
  <c r="I22" i="97"/>
  <c r="H40" i="97"/>
  <c r="AX81" i="97"/>
  <c r="S83" i="97"/>
  <c r="G57" i="109"/>
  <c r="G63" i="109"/>
  <c r="G58" i="109"/>
  <c r="G59" i="109"/>
  <c r="S82" i="97"/>
  <c r="T36" i="109"/>
  <c r="DL85" i="97"/>
  <c r="CH85" i="97"/>
  <c r="S10" i="97"/>
  <c r="G62" i="109"/>
  <c r="CO10" i="97"/>
  <c r="F18" i="106"/>
  <c r="S60" i="109"/>
  <c r="S66" i="109" s="1"/>
  <c r="S58" i="109"/>
  <c r="S57" i="109"/>
  <c r="S59" i="109"/>
  <c r="N14" i="99"/>
  <c r="EA85" i="97"/>
  <c r="EB85" i="97" s="1"/>
  <c r="U36" i="109"/>
  <c r="Q36" i="109"/>
  <c r="BS86" i="97" s="1"/>
  <c r="Q37" i="109"/>
  <c r="V31" i="109"/>
  <c r="O33" i="109"/>
  <c r="CP20" i="97"/>
  <c r="P36" i="109"/>
  <c r="G61" i="109"/>
  <c r="R36" i="109"/>
  <c r="CH86" i="97" s="1"/>
  <c r="AH28" i="97"/>
  <c r="E68" i="106"/>
  <c r="DJ86" i="97"/>
  <c r="AD37" i="109"/>
  <c r="I18" i="106"/>
  <c r="J69" i="106"/>
  <c r="AH65" i="97"/>
  <c r="E65" i="97"/>
  <c r="G79" i="97"/>
  <c r="U79" i="97"/>
  <c r="T67" i="97"/>
  <c r="F67" i="97"/>
  <c r="S61" i="97"/>
  <c r="E61" i="97"/>
  <c r="R26" i="97"/>
  <c r="C26" i="97" s="1"/>
  <c r="D26" i="97"/>
  <c r="S16" i="97"/>
  <c r="E16" i="97"/>
  <c r="AY82" i="97"/>
  <c r="G82" i="97"/>
  <c r="AX60" i="97"/>
  <c r="O18" i="106"/>
  <c r="DP27" i="97" s="1"/>
  <c r="DP28" i="97"/>
  <c r="AG54" i="97"/>
  <c r="R57" i="97"/>
  <c r="C57" i="97" s="1"/>
  <c r="D57" i="97"/>
  <c r="AV25" i="97"/>
  <c r="K107" i="97"/>
  <c r="J126" i="97"/>
  <c r="K126" i="97" s="1"/>
  <c r="H77" i="97"/>
  <c r="V77" i="97"/>
  <c r="I71" i="97"/>
  <c r="W71" i="97"/>
  <c r="T51" i="97"/>
  <c r="W38" i="97"/>
  <c r="I38" i="97"/>
  <c r="T34" i="97"/>
  <c r="I31" i="97"/>
  <c r="W31" i="97"/>
  <c r="H20" i="97"/>
  <c r="D32" i="97"/>
  <c r="G59" i="97"/>
  <c r="F46" i="97"/>
  <c r="F61" i="97"/>
  <c r="G52" i="97"/>
  <c r="E63" i="97"/>
  <c r="F44" i="97"/>
  <c r="F25" i="97"/>
  <c r="F65" i="97"/>
  <c r="I26" i="97"/>
  <c r="G45" i="97"/>
  <c r="F57" i="97"/>
  <c r="H70" i="97"/>
  <c r="H62" i="97"/>
  <c r="K111" i="97"/>
  <c r="J125" i="97"/>
  <c r="K125" i="97" s="1"/>
  <c r="G64" i="97"/>
  <c r="U64" i="97"/>
  <c r="I41" i="97"/>
  <c r="W41" i="97"/>
  <c r="T37" i="97"/>
  <c r="H36" i="97"/>
  <c r="V36" i="97"/>
  <c r="V30" i="97"/>
  <c r="H30" i="97"/>
  <c r="E48" i="97"/>
  <c r="H82" i="97"/>
  <c r="G67" i="97"/>
  <c r="E17" i="97"/>
  <c r="D48" i="97"/>
  <c r="X9" i="97"/>
  <c r="X175" i="97" s="1"/>
  <c r="AX74" i="97"/>
  <c r="R17" i="97"/>
  <c r="C17" i="97" s="1"/>
  <c r="G32" i="97"/>
  <c r="D44" i="97"/>
  <c r="T80" i="97"/>
  <c r="E32" i="97"/>
  <c r="I45" i="97"/>
  <c r="E57" i="97"/>
  <c r="G70" i="97"/>
  <c r="G78" i="97"/>
  <c r="E62" i="97"/>
  <c r="G61" i="97"/>
  <c r="D46" i="97"/>
  <c r="I67" i="97"/>
  <c r="J114" i="97"/>
  <c r="K114" i="97" s="1"/>
  <c r="K148" i="97"/>
  <c r="K140" i="97"/>
  <c r="U53" i="97"/>
  <c r="G53" i="97"/>
  <c r="V42" i="97"/>
  <c r="V40" i="97"/>
  <c r="V35" i="97"/>
  <c r="H35" i="97"/>
  <c r="U19" i="97"/>
  <c r="U18" i="97"/>
  <c r="G18" i="97"/>
  <c r="I12" i="97"/>
  <c r="W12" i="97"/>
  <c r="F32" i="97"/>
  <c r="F62" i="97"/>
  <c r="H67" i="97"/>
  <c r="S52" i="97"/>
  <c r="E78" i="97"/>
  <c r="D62" i="97"/>
  <c r="D78" i="97"/>
  <c r="E44" i="97"/>
  <c r="G26" i="97"/>
  <c r="I79" i="97"/>
  <c r="F45" i="97"/>
  <c r="I57" i="97"/>
  <c r="E46" i="97"/>
  <c r="H79" i="97"/>
  <c r="F48" i="97"/>
  <c r="J153" i="97"/>
  <c r="K153" i="97" s="1"/>
  <c r="S45" i="97"/>
  <c r="E45" i="97"/>
  <c r="V11" i="97"/>
  <c r="H11" i="97"/>
  <c r="W68" i="97"/>
  <c r="I68" i="97"/>
  <c r="I173" i="97" s="1"/>
  <c r="I62" i="97"/>
  <c r="I54" i="97"/>
  <c r="I47" i="97"/>
  <c r="W22" i="97"/>
  <c r="W14" i="97"/>
  <c r="I14" i="97"/>
  <c r="U13" i="97"/>
  <c r="H58" i="97"/>
  <c r="G50" i="97"/>
  <c r="H34" i="97"/>
  <c r="V29" i="97"/>
  <c r="H29" i="97"/>
  <c r="W24" i="97"/>
  <c r="I24" i="97"/>
  <c r="DA85" i="97"/>
  <c r="CZ85" i="97" s="1"/>
  <c r="H36" i="109"/>
  <c r="H37" i="109" s="1"/>
  <c r="O16" i="97"/>
  <c r="J36" i="109"/>
  <c r="J37" i="109" s="1"/>
  <c r="EE85" i="97"/>
  <c r="ED85" i="97" s="1"/>
  <c r="R1031" i="99"/>
  <c r="R1032" i="99"/>
  <c r="N1035" i="99"/>
  <c r="N1052" i="99"/>
  <c r="N1072" i="99"/>
  <c r="N1016" i="99"/>
  <c r="N1036" i="99"/>
  <c r="N1053" i="99"/>
  <c r="N1073" i="99"/>
  <c r="N1026" i="99"/>
  <c r="N1054" i="99"/>
  <c r="N1088" i="99"/>
  <c r="AA31" i="109"/>
  <c r="AB33" i="109" s="1"/>
  <c r="AO53" i="97"/>
  <c r="P1067" i="99"/>
  <c r="P1014" i="99"/>
  <c r="N1023" i="99"/>
  <c r="N1044" i="99"/>
  <c r="N1062" i="99"/>
  <c r="N1080" i="99"/>
  <c r="N1024" i="99"/>
  <c r="N1045" i="99"/>
  <c r="N1065" i="99"/>
  <c r="N1081" i="99"/>
  <c r="N1017" i="99"/>
  <c r="N1030" i="99"/>
  <c r="Y31" i="109"/>
  <c r="P1071" i="99"/>
  <c r="Q1087" i="99"/>
  <c r="N1027" i="99"/>
  <c r="N1048" i="99"/>
  <c r="N1068" i="99"/>
  <c r="N1084" i="99"/>
  <c r="N1028" i="99"/>
  <c r="N1049" i="99"/>
  <c r="N1069" i="99"/>
  <c r="N1022" i="99"/>
  <c r="N1037" i="99"/>
  <c r="D60" i="109" l="1"/>
  <c r="D66" i="109" s="1"/>
  <c r="D62" i="109"/>
  <c r="D57" i="109"/>
  <c r="D59" i="109"/>
  <c r="D63" i="109"/>
  <c r="D61" i="109"/>
  <c r="D64" i="109" s="1"/>
  <c r="D58" i="109"/>
  <c r="K18" i="106"/>
  <c r="DL27" i="97" s="1"/>
  <c r="AJ112" i="97" s="1"/>
  <c r="DL28" i="97"/>
  <c r="AJ113" i="97" s="1"/>
  <c r="L69" i="106"/>
  <c r="F58" i="109"/>
  <c r="F63" i="109"/>
  <c r="F61" i="109"/>
  <c r="F60" i="109"/>
  <c r="F62" i="109"/>
  <c r="F69" i="109" s="1"/>
  <c r="F59" i="109"/>
  <c r="I68" i="106"/>
  <c r="AL28" i="97"/>
  <c r="J71" i="106"/>
  <c r="G71" i="106"/>
  <c r="O87" i="110"/>
  <c r="O88" i="110"/>
  <c r="I69" i="106"/>
  <c r="H18" i="106"/>
  <c r="AN28" i="97"/>
  <c r="AS28" i="97" s="1"/>
  <c r="K68" i="106"/>
  <c r="Y36" i="109"/>
  <c r="AM85" i="97"/>
  <c r="AL85" i="97" s="1"/>
  <c r="AK85" i="97" s="1"/>
  <c r="AJ85" i="97" s="1"/>
  <c r="AI85" i="97" s="1"/>
  <c r="AH85" i="97" s="1"/>
  <c r="AG85" i="97" s="1"/>
  <c r="I58" i="109"/>
  <c r="I61" i="109"/>
  <c r="I63" i="109"/>
  <c r="I62" i="109"/>
  <c r="I59" i="109"/>
  <c r="I67" i="109" s="1"/>
  <c r="I60" i="109"/>
  <c r="I66" i="109" s="1"/>
  <c r="I57" i="109"/>
  <c r="C18" i="106"/>
  <c r="D69" i="106"/>
  <c r="BW86" i="97"/>
  <c r="BV86" i="97" s="1"/>
  <c r="BV85" i="97"/>
  <c r="AI28" i="97"/>
  <c r="AI9" i="97" s="1"/>
  <c r="AI175" i="97" s="1"/>
  <c r="F68" i="106"/>
  <c r="F72" i="106" s="1"/>
  <c r="AC36" i="109"/>
  <c r="CU85" i="97"/>
  <c r="AA36" i="109"/>
  <c r="BQ86" i="97" s="1"/>
  <c r="BP86" i="97" s="1"/>
  <c r="BO86" i="97" s="1"/>
  <c r="BN86" i="97" s="1"/>
  <c r="BM86" i="97" s="1"/>
  <c r="BL86" i="97" s="1"/>
  <c r="BK86" i="97" s="1"/>
  <c r="BQ85" i="97"/>
  <c r="E69" i="106"/>
  <c r="D18" i="106"/>
  <c r="J68" i="106"/>
  <c r="J72" i="106" s="1"/>
  <c r="CF28" i="97" s="1"/>
  <c r="I28" i="97" s="1"/>
  <c r="AM28" i="97"/>
  <c r="O28" i="97"/>
  <c r="H69" i="106"/>
  <c r="G18" i="106"/>
  <c r="AJ28" i="97"/>
  <c r="AJ9" i="97" s="1"/>
  <c r="G68" i="106"/>
  <c r="G72" i="106" s="1"/>
  <c r="CC28" i="97" s="1"/>
  <c r="H8" i="106"/>
  <c r="I71" i="106" s="1"/>
  <c r="G8" i="106"/>
  <c r="H71" i="106" s="1"/>
  <c r="C8" i="106"/>
  <c r="D71" i="106" s="1"/>
  <c r="K8" i="106"/>
  <c r="I8" i="106"/>
  <c r="F8" i="106"/>
  <c r="E8" i="106"/>
  <c r="D8" i="106"/>
  <c r="E71" i="106" s="1"/>
  <c r="J8" i="106"/>
  <c r="E72" i="106"/>
  <c r="CA28" i="97" s="1"/>
  <c r="M87" i="110"/>
  <c r="M88" i="110"/>
  <c r="DM49" i="97" s="1"/>
  <c r="DM9" i="97" s="1"/>
  <c r="DM175" i="97" s="1"/>
  <c r="AG28" i="97"/>
  <c r="C28" i="97" s="1"/>
  <c r="D68" i="106"/>
  <c r="D72" i="106" s="1"/>
  <c r="BZ28" i="97" s="1"/>
  <c r="S67" i="109"/>
  <c r="H86" i="109" s="1"/>
  <c r="H87" i="109" s="1"/>
  <c r="I83" i="110"/>
  <c r="H83" i="110" s="1"/>
  <c r="K82" i="110"/>
  <c r="L85" i="110"/>
  <c r="L86" i="110" s="1"/>
  <c r="AK28" i="97"/>
  <c r="G28" i="97" s="1"/>
  <c r="H68" i="106"/>
  <c r="H72" i="106" s="1"/>
  <c r="CD28" i="97" s="1"/>
  <c r="E58" i="109"/>
  <c r="E59" i="109"/>
  <c r="E60" i="109"/>
  <c r="E66" i="109" s="1"/>
  <c r="E63" i="109"/>
  <c r="E62" i="109"/>
  <c r="E57" i="109"/>
  <c r="E18" i="106"/>
  <c r="F69" i="106"/>
  <c r="J18" i="106"/>
  <c r="K69" i="106"/>
  <c r="AO28" i="97"/>
  <c r="V113" i="97" s="1"/>
  <c r="L68" i="106"/>
  <c r="AS86" i="97"/>
  <c r="AR85" i="97"/>
  <c r="N85" i="97" s="1"/>
  <c r="AJ175" i="97"/>
  <c r="AJ173" i="97"/>
  <c r="S55" i="97"/>
  <c r="G39" i="97"/>
  <c r="D47" i="97"/>
  <c r="G76" i="97"/>
  <c r="F52" i="106"/>
  <c r="F53" i="106" s="1"/>
  <c r="H48" i="106"/>
  <c r="H59" i="97"/>
  <c r="F56" i="97"/>
  <c r="F55" i="97"/>
  <c r="G55" i="97"/>
  <c r="F39" i="97"/>
  <c r="E10" i="97"/>
  <c r="D25" i="97"/>
  <c r="H21" i="97"/>
  <c r="E39" i="97"/>
  <c r="BK175" i="97"/>
  <c r="AN52" i="97"/>
  <c r="K52" i="97"/>
  <c r="F51" i="97"/>
  <c r="F76" i="97"/>
  <c r="G83" i="97"/>
  <c r="G51" i="97"/>
  <c r="E60" i="97"/>
  <c r="U54" i="97"/>
  <c r="G54" i="97"/>
  <c r="T50" i="97"/>
  <c r="F50" i="97"/>
  <c r="BA9" i="97"/>
  <c r="BA175" i="97" s="1"/>
  <c r="F72" i="97"/>
  <c r="T72" i="97"/>
  <c r="H76" i="97"/>
  <c r="CR23" i="97"/>
  <c r="G23" i="97"/>
  <c r="E56" i="97"/>
  <c r="AH173" i="97"/>
  <c r="AG68" i="97"/>
  <c r="AG173" i="97" s="1"/>
  <c r="U21" i="97"/>
  <c r="G21" i="97"/>
  <c r="D56" i="97"/>
  <c r="R56" i="97"/>
  <c r="C56" i="97" s="1"/>
  <c r="U81" i="97"/>
  <c r="G81" i="97"/>
  <c r="R63" i="97"/>
  <c r="C63" i="97" s="1"/>
  <c r="D63" i="97"/>
  <c r="U75" i="97"/>
  <c r="G75" i="97"/>
  <c r="AX68" i="97"/>
  <c r="AY173" i="97"/>
  <c r="F34" i="97"/>
  <c r="S60" i="97"/>
  <c r="D59" i="97"/>
  <c r="H75" i="97"/>
  <c r="E59" i="97"/>
  <c r="AY37" i="97"/>
  <c r="G37" i="97"/>
  <c r="CS68" i="97"/>
  <c r="CT173" i="97"/>
  <c r="CT9" i="97"/>
  <c r="F69" i="97"/>
  <c r="T69" i="97"/>
  <c r="DP9" i="97"/>
  <c r="DP175" i="97" s="1"/>
  <c r="G60" i="97"/>
  <c r="F60" i="97"/>
  <c r="AZ73" i="97"/>
  <c r="AZ9" i="97" s="1"/>
  <c r="AZ175" i="97" s="1"/>
  <c r="H73" i="97"/>
  <c r="H37" i="97"/>
  <c r="AH70" i="97"/>
  <c r="AH9" i="97" s="1"/>
  <c r="E70" i="97"/>
  <c r="CU175" i="97"/>
  <c r="C59" i="97"/>
  <c r="F59" i="97"/>
  <c r="AX83" i="97"/>
  <c r="F83" i="97"/>
  <c r="U33" i="97"/>
  <c r="G33" i="97"/>
  <c r="V15" i="97"/>
  <c r="H15" i="97"/>
  <c r="F58" i="97"/>
  <c r="T58" i="97"/>
  <c r="AY24" i="97"/>
  <c r="AX24" i="97" s="1"/>
  <c r="AW24" i="97" s="1"/>
  <c r="AV24" i="97" s="1"/>
  <c r="CF85" i="97"/>
  <c r="CE85" i="97" s="1"/>
  <c r="CD85" i="97" s="1"/>
  <c r="CC85" i="97" s="1"/>
  <c r="CB85" i="97" s="1"/>
  <c r="CA85" i="97" s="1"/>
  <c r="BZ85" i="97" s="1"/>
  <c r="AB36" i="109"/>
  <c r="CF86" i="97" s="1"/>
  <c r="CG86" i="97" s="1"/>
  <c r="H62" i="109"/>
  <c r="H61" i="109"/>
  <c r="H59" i="109"/>
  <c r="H58" i="109"/>
  <c r="H67" i="109" s="1"/>
  <c r="H63" i="109"/>
  <c r="H60" i="109"/>
  <c r="H66" i="109" s="1"/>
  <c r="H57" i="109"/>
  <c r="H69" i="109" s="1"/>
  <c r="H24" i="97"/>
  <c r="V24" i="97"/>
  <c r="R45" i="97"/>
  <c r="C45" i="97" s="1"/>
  <c r="D45" i="97"/>
  <c r="V12" i="97"/>
  <c r="H12" i="97"/>
  <c r="W9" i="97"/>
  <c r="T19" i="97"/>
  <c r="F19" i="97"/>
  <c r="U42" i="97"/>
  <c r="G42" i="97"/>
  <c r="S80" i="97"/>
  <c r="E80" i="97"/>
  <c r="AX174" i="97"/>
  <c r="E74" i="97"/>
  <c r="E174" i="97" s="1"/>
  <c r="AW74" i="97"/>
  <c r="T64" i="97"/>
  <c r="F64" i="97"/>
  <c r="S34" i="97"/>
  <c r="E34" i="97"/>
  <c r="U77" i="97"/>
  <c r="G77" i="97"/>
  <c r="R55" i="97"/>
  <c r="C55" i="97" s="1"/>
  <c r="D55" i="97"/>
  <c r="AW60" i="97"/>
  <c r="AX82" i="97"/>
  <c r="F82" i="97"/>
  <c r="R61" i="97"/>
  <c r="C61" i="97" s="1"/>
  <c r="D61" i="97"/>
  <c r="CB28" i="97"/>
  <c r="E28" i="97" s="1"/>
  <c r="D20" i="97"/>
  <c r="CO20" i="97"/>
  <c r="C20" i="97" s="1"/>
  <c r="S64" i="109"/>
  <c r="S69" i="109"/>
  <c r="DL86" i="97"/>
  <c r="DM86" i="97" s="1"/>
  <c r="T37" i="109"/>
  <c r="G67" i="109"/>
  <c r="G69" i="109"/>
  <c r="G64" i="109"/>
  <c r="R83" i="97"/>
  <c r="K36" i="109"/>
  <c r="H14" i="97"/>
  <c r="V14" i="97"/>
  <c r="U11" i="97"/>
  <c r="G11" i="97"/>
  <c r="U30" i="97"/>
  <c r="G30" i="97"/>
  <c r="S37" i="97"/>
  <c r="S51" i="97"/>
  <c r="E51" i="97"/>
  <c r="O85" i="97"/>
  <c r="E76" i="97"/>
  <c r="S76" i="97"/>
  <c r="D28" i="97"/>
  <c r="F28" i="97"/>
  <c r="Q59" i="109"/>
  <c r="Q60" i="109"/>
  <c r="Q66" i="109" s="1"/>
  <c r="Q63" i="109"/>
  <c r="Q57" i="109"/>
  <c r="Q64" i="109" s="1"/>
  <c r="Q62" i="109"/>
  <c r="Q58" i="109"/>
  <c r="Q61" i="109"/>
  <c r="D10" i="97"/>
  <c r="R10" i="97"/>
  <c r="CI85" i="97"/>
  <c r="AE33" i="109"/>
  <c r="Z33" i="109"/>
  <c r="AF31" i="109"/>
  <c r="U29" i="97"/>
  <c r="G29" i="97"/>
  <c r="H22" i="97"/>
  <c r="V22" i="97"/>
  <c r="D52" i="97"/>
  <c r="R52" i="97"/>
  <c r="C52" i="97" s="1"/>
  <c r="U35" i="97"/>
  <c r="G35" i="97"/>
  <c r="F53" i="97"/>
  <c r="T53" i="97"/>
  <c r="U36" i="97"/>
  <c r="G36" i="97"/>
  <c r="H41" i="97"/>
  <c r="V41" i="97"/>
  <c r="V31" i="97"/>
  <c r="H31" i="97"/>
  <c r="V71" i="97"/>
  <c r="H71" i="97"/>
  <c r="R16" i="97"/>
  <c r="C16" i="97" s="1"/>
  <c r="D16" i="97"/>
  <c r="S67" i="97"/>
  <c r="E67" i="97"/>
  <c r="D65" i="97"/>
  <c r="AG65" i="97"/>
  <c r="C65" i="97" s="1"/>
  <c r="CI86" i="97"/>
  <c r="P37" i="109"/>
  <c r="BD86" i="97"/>
  <c r="BE86" i="97" s="1"/>
  <c r="BT86" i="97"/>
  <c r="BR86" i="97"/>
  <c r="R37" i="109"/>
  <c r="R82" i="97"/>
  <c r="K37" i="109"/>
  <c r="AW81" i="97"/>
  <c r="AN53" i="97"/>
  <c r="K53" i="97"/>
  <c r="J61" i="109"/>
  <c r="J60" i="109"/>
  <c r="J66" i="109" s="1"/>
  <c r="J63" i="109"/>
  <c r="J58" i="109"/>
  <c r="J57" i="109"/>
  <c r="J62" i="109"/>
  <c r="J59" i="109"/>
  <c r="T13" i="97"/>
  <c r="F13" i="97"/>
  <c r="W173" i="97"/>
  <c r="V68" i="97"/>
  <c r="H68" i="97"/>
  <c r="H173" i="97" s="1"/>
  <c r="T18" i="97"/>
  <c r="F18" i="97"/>
  <c r="U40" i="97"/>
  <c r="G40" i="97"/>
  <c r="V38" i="97"/>
  <c r="H38" i="97"/>
  <c r="T79" i="97"/>
  <c r="F79" i="97"/>
  <c r="C25" i="97"/>
  <c r="AD57" i="109"/>
  <c r="AD61" i="109"/>
  <c r="AD58" i="109"/>
  <c r="AD60" i="109"/>
  <c r="AD66" i="109" s="1"/>
  <c r="AD59" i="109"/>
  <c r="AD62" i="109"/>
  <c r="AD63" i="109"/>
  <c r="AO85" i="97"/>
  <c r="O36" i="109"/>
  <c r="O37" i="109" s="1"/>
  <c r="U37" i="109"/>
  <c r="EA86" i="97"/>
  <c r="EB86" i="97" s="1"/>
  <c r="DM85" i="97"/>
  <c r="DK85" i="97"/>
  <c r="AD67" i="109" l="1"/>
  <c r="I84" i="109" s="1"/>
  <c r="AB37" i="109"/>
  <c r="D67" i="109"/>
  <c r="AM86" i="97"/>
  <c r="Y37" i="109"/>
  <c r="J69" i="109"/>
  <c r="AR86" i="97"/>
  <c r="N86" i="97" s="1"/>
  <c r="O86" i="97"/>
  <c r="L87" i="110"/>
  <c r="AO49" i="97" s="1"/>
  <c r="L88" i="110"/>
  <c r="DL49" i="97" s="1"/>
  <c r="DL9" i="97" s="1"/>
  <c r="DL175" i="97" s="1"/>
  <c r="AC37" i="109"/>
  <c r="CU86" i="97"/>
  <c r="CV86" i="97" s="1"/>
  <c r="F67" i="109"/>
  <c r="E69" i="109"/>
  <c r="E64" i="109"/>
  <c r="J82" i="110"/>
  <c r="K85" i="110"/>
  <c r="K86" i="110" s="1"/>
  <c r="I72" i="106"/>
  <c r="CE28" i="97" s="1"/>
  <c r="H28" i="97" s="1"/>
  <c r="G83" i="110"/>
  <c r="F83" i="110" s="1"/>
  <c r="E83" i="110" s="1"/>
  <c r="D83" i="110" s="1"/>
  <c r="D69" i="109"/>
  <c r="CT85" i="97"/>
  <c r="CS85" i="97" s="1"/>
  <c r="CR85" i="97" s="1"/>
  <c r="CQ85" i="97" s="1"/>
  <c r="CP85" i="97" s="1"/>
  <c r="CO85" i="97" s="1"/>
  <c r="CV85" i="97"/>
  <c r="I64" i="109"/>
  <c r="I69" i="109"/>
  <c r="I70" i="109" s="1"/>
  <c r="Q67" i="109"/>
  <c r="F86" i="109" s="1"/>
  <c r="F87" i="109" s="1"/>
  <c r="E67" i="109"/>
  <c r="F71" i="106"/>
  <c r="BP85" i="97"/>
  <c r="BO85" i="97" s="1"/>
  <c r="BN85" i="97" s="1"/>
  <c r="BM85" i="97" s="1"/>
  <c r="BL85" i="97" s="1"/>
  <c r="BK85" i="97" s="1"/>
  <c r="BR85" i="97"/>
  <c r="AD64" i="109"/>
  <c r="AA37" i="109"/>
  <c r="F64" i="109"/>
  <c r="F66" i="109"/>
  <c r="F70" i="109" s="1"/>
  <c r="AH175" i="97"/>
  <c r="F54" i="106"/>
  <c r="G45" i="106" s="1"/>
  <c r="F55" i="106"/>
  <c r="G49" i="106" s="1"/>
  <c r="H49" i="106" s="1"/>
  <c r="CE27" i="97"/>
  <c r="CI27" i="97"/>
  <c r="CC27" i="97"/>
  <c r="CG27" i="97"/>
  <c r="CD27" i="97"/>
  <c r="CD9" i="97" s="1"/>
  <c r="CD175" i="97" s="1"/>
  <c r="CF27" i="97"/>
  <c r="CF9" i="97" s="1"/>
  <c r="CF175" i="97" s="1"/>
  <c r="CT175" i="97"/>
  <c r="AM52" i="97"/>
  <c r="I52" i="97" s="1"/>
  <c r="J52" i="97"/>
  <c r="D60" i="97"/>
  <c r="R60" i="97"/>
  <c r="T81" i="97"/>
  <c r="F81" i="97"/>
  <c r="F21" i="97"/>
  <c r="T21" i="97"/>
  <c r="S50" i="97"/>
  <c r="E50" i="97"/>
  <c r="CG85" i="97"/>
  <c r="CQ23" i="97"/>
  <c r="F23" i="97"/>
  <c r="T54" i="97"/>
  <c r="F54" i="97"/>
  <c r="E72" i="97"/>
  <c r="S72" i="97"/>
  <c r="W175" i="97"/>
  <c r="S58" i="97"/>
  <c r="E58" i="97"/>
  <c r="AG70" i="97"/>
  <c r="C70" i="97" s="1"/>
  <c r="D70" i="97"/>
  <c r="AX37" i="97"/>
  <c r="F37" i="97"/>
  <c r="V9" i="97"/>
  <c r="T33" i="97"/>
  <c r="F33" i="97"/>
  <c r="E69" i="97"/>
  <c r="S69" i="97"/>
  <c r="AW68" i="97"/>
  <c r="AX173" i="97"/>
  <c r="CS173" i="97"/>
  <c r="CR68" i="97"/>
  <c r="CS9" i="97"/>
  <c r="U15" i="97"/>
  <c r="G15" i="97"/>
  <c r="AW83" i="97"/>
  <c r="E83" i="97"/>
  <c r="AY73" i="97"/>
  <c r="G73" i="97"/>
  <c r="F75" i="97"/>
  <c r="T75" i="97"/>
  <c r="O58" i="109"/>
  <c r="O59" i="109"/>
  <c r="O57" i="109"/>
  <c r="O61" i="109"/>
  <c r="V37" i="109"/>
  <c r="O60" i="109"/>
  <c r="O66" i="109" s="1"/>
  <c r="O62" i="109"/>
  <c r="O63" i="109"/>
  <c r="DK86" i="97"/>
  <c r="U62" i="109"/>
  <c r="U59" i="109"/>
  <c r="U60" i="109"/>
  <c r="U66" i="109" s="1"/>
  <c r="U63" i="109"/>
  <c r="U57" i="109"/>
  <c r="U61" i="109"/>
  <c r="U58" i="109"/>
  <c r="S13" i="97"/>
  <c r="E13" i="97"/>
  <c r="U41" i="97"/>
  <c r="G41" i="97"/>
  <c r="S53" i="97"/>
  <c r="E53" i="97"/>
  <c r="K38" i="109"/>
  <c r="K69" i="109"/>
  <c r="H101" i="109"/>
  <c r="H102" i="109" s="1"/>
  <c r="S70" i="109"/>
  <c r="AV60" i="97"/>
  <c r="T42" i="97"/>
  <c r="F42" i="97"/>
  <c r="AB59" i="109"/>
  <c r="AB58" i="109"/>
  <c r="AB62" i="109"/>
  <c r="AB61" i="109"/>
  <c r="AB60" i="109"/>
  <c r="AB66" i="109" s="1"/>
  <c r="AB57" i="109"/>
  <c r="AB63" i="109"/>
  <c r="AN85" i="97"/>
  <c r="K85" i="97"/>
  <c r="AP85" i="97"/>
  <c r="L85" i="97" s="1"/>
  <c r="AM53" i="97"/>
  <c r="I53" i="97" s="1"/>
  <c r="J53" i="97"/>
  <c r="R63" i="109"/>
  <c r="R61" i="109"/>
  <c r="R59" i="109"/>
  <c r="R62" i="109"/>
  <c r="R60" i="109"/>
  <c r="R66" i="109" s="1"/>
  <c r="R58" i="109"/>
  <c r="R67" i="109" s="1"/>
  <c r="G86" i="109" s="1"/>
  <c r="G87" i="109" s="1"/>
  <c r="R57" i="109"/>
  <c r="U31" i="97"/>
  <c r="G31" i="97"/>
  <c r="T36" i="97"/>
  <c r="F36" i="97"/>
  <c r="T35" i="97"/>
  <c r="F35" i="97"/>
  <c r="R34" i="97"/>
  <c r="C34" i="97" s="1"/>
  <c r="D34" i="97"/>
  <c r="AV81" i="97"/>
  <c r="BB85" i="97"/>
  <c r="Z36" i="109"/>
  <c r="Z37" i="109" s="1"/>
  <c r="E79" i="97"/>
  <c r="S79" i="97"/>
  <c r="U38" i="97"/>
  <c r="G38" i="97"/>
  <c r="T40" i="97"/>
  <c r="F40" i="97"/>
  <c r="V173" i="97"/>
  <c r="U68" i="97"/>
  <c r="G68" i="97"/>
  <c r="G173" i="97" s="1"/>
  <c r="J67" i="109"/>
  <c r="U71" i="97"/>
  <c r="G71" i="97"/>
  <c r="T29" i="97"/>
  <c r="F29" i="97"/>
  <c r="AE37" i="109"/>
  <c r="AE36" i="109"/>
  <c r="DY86" i="97" s="1"/>
  <c r="DY85" i="97"/>
  <c r="C10" i="97"/>
  <c r="D76" i="97"/>
  <c r="R76" i="97"/>
  <c r="C76" i="97" s="1"/>
  <c r="D51" i="97"/>
  <c r="R51" i="97"/>
  <c r="C51" i="97" s="1"/>
  <c r="T30" i="97"/>
  <c r="F30" i="97"/>
  <c r="T11" i="97"/>
  <c r="F11" i="97"/>
  <c r="G70" i="109"/>
  <c r="T77" i="97"/>
  <c r="F77" i="97"/>
  <c r="S64" i="97"/>
  <c r="E64" i="97"/>
  <c r="U12" i="97"/>
  <c r="G12" i="97"/>
  <c r="U24" i="97"/>
  <c r="G24" i="97"/>
  <c r="H70" i="109"/>
  <c r="I80" i="109"/>
  <c r="I81" i="109"/>
  <c r="I83" i="109"/>
  <c r="I79" i="109"/>
  <c r="I82" i="109"/>
  <c r="I78" i="109"/>
  <c r="S18" i="97"/>
  <c r="E18" i="97"/>
  <c r="P61" i="109"/>
  <c r="P62" i="109"/>
  <c r="P57" i="109"/>
  <c r="P60" i="109"/>
  <c r="P66" i="109" s="1"/>
  <c r="P59" i="109"/>
  <c r="P58" i="109"/>
  <c r="P63" i="109"/>
  <c r="R67" i="97"/>
  <c r="C67" i="97" s="1"/>
  <c r="D67" i="97"/>
  <c r="R37" i="97"/>
  <c r="V36" i="109"/>
  <c r="V38" i="109" s="1"/>
  <c r="AO86" i="97"/>
  <c r="AD69" i="109"/>
  <c r="I99" i="109" s="1"/>
  <c r="J64" i="109"/>
  <c r="U22" i="97"/>
  <c r="G22" i="97"/>
  <c r="Q69" i="109"/>
  <c r="F101" i="109" s="1"/>
  <c r="U14" i="97"/>
  <c r="G14" i="97"/>
  <c r="T61" i="109"/>
  <c r="T59" i="109"/>
  <c r="T60" i="109"/>
  <c r="T66" i="109" s="1"/>
  <c r="T62" i="109"/>
  <c r="T63" i="109"/>
  <c r="T58" i="109"/>
  <c r="T67" i="109" s="1"/>
  <c r="I86" i="109" s="1"/>
  <c r="I87" i="109" s="1"/>
  <c r="T57" i="109"/>
  <c r="AW82" i="97"/>
  <c r="E82" i="97"/>
  <c r="AW174" i="97"/>
  <c r="AV74" i="97"/>
  <c r="D74" i="97"/>
  <c r="D174" i="97" s="1"/>
  <c r="R80" i="97"/>
  <c r="C80" i="97" s="1"/>
  <c r="D80" i="97"/>
  <c r="S19" i="97"/>
  <c r="E19" i="97"/>
  <c r="H64" i="109"/>
  <c r="R69" i="109" l="1"/>
  <c r="G101" i="109" s="1"/>
  <c r="G102" i="109" s="1"/>
  <c r="AG9" i="97"/>
  <c r="E70" i="109"/>
  <c r="Y62" i="109"/>
  <c r="Y61" i="109"/>
  <c r="Y58" i="109"/>
  <c r="Y60" i="109"/>
  <c r="Y66" i="109" s="1"/>
  <c r="Y59" i="109"/>
  <c r="Y57" i="109"/>
  <c r="Y63" i="109"/>
  <c r="K66" i="109"/>
  <c r="K88" i="110"/>
  <c r="DK49" i="97" s="1"/>
  <c r="DK9" i="97" s="1"/>
  <c r="DK175" i="97" s="1"/>
  <c r="K87" i="110"/>
  <c r="AN49" i="97" s="1"/>
  <c r="J49" i="97" s="1"/>
  <c r="AC63" i="109"/>
  <c r="AC59" i="109"/>
  <c r="AC64" i="109" s="1"/>
  <c r="AC58" i="109"/>
  <c r="AC57" i="109"/>
  <c r="AC61" i="109"/>
  <c r="AC60" i="109"/>
  <c r="AC66" i="109" s="1"/>
  <c r="AC62" i="109"/>
  <c r="D70" i="109"/>
  <c r="AA57" i="109"/>
  <c r="AA69" i="109" s="1"/>
  <c r="F99" i="109" s="1"/>
  <c r="AA58" i="109"/>
  <c r="AA59" i="109"/>
  <c r="AA61" i="109"/>
  <c r="AA62" i="109"/>
  <c r="AA63" i="109"/>
  <c r="AA60" i="109"/>
  <c r="AA66" i="109" s="1"/>
  <c r="I82" i="110"/>
  <c r="J85" i="110"/>
  <c r="J86" i="110" s="1"/>
  <c r="R70" i="109"/>
  <c r="AB69" i="109"/>
  <c r="G99" i="109" s="1"/>
  <c r="CE9" i="97"/>
  <c r="CT86" i="97"/>
  <c r="V134" i="97"/>
  <c r="AP49" i="97"/>
  <c r="L49" i="97" s="1"/>
  <c r="K49" i="97"/>
  <c r="CH27" i="97"/>
  <c r="K66" i="106"/>
  <c r="CB27" i="97"/>
  <c r="F27" i="97"/>
  <c r="CC9" i="97"/>
  <c r="CC175" i="97" s="1"/>
  <c r="H45" i="106"/>
  <c r="AS27" i="97"/>
  <c r="AS9" i="97" s="1"/>
  <c r="M66" i="106"/>
  <c r="C60" i="97"/>
  <c r="AG175" i="97"/>
  <c r="S54" i="97"/>
  <c r="E54" i="97"/>
  <c r="R72" i="97"/>
  <c r="C72" i="97" s="1"/>
  <c r="D72" i="97"/>
  <c r="R50" i="97"/>
  <c r="C50" i="97" s="1"/>
  <c r="D50" i="97"/>
  <c r="S81" i="97"/>
  <c r="E81" i="97"/>
  <c r="CP23" i="97"/>
  <c r="E23" i="97"/>
  <c r="E21" i="97"/>
  <c r="S21" i="97"/>
  <c r="S75" i="97"/>
  <c r="E75" i="97"/>
  <c r="CS175" i="97"/>
  <c r="AW173" i="97"/>
  <c r="AV68" i="97"/>
  <c r="AV173" i="97" s="1"/>
  <c r="S33" i="97"/>
  <c r="E33" i="97"/>
  <c r="AW37" i="97"/>
  <c r="E37" i="97"/>
  <c r="R58" i="97"/>
  <c r="C58" i="97" s="1"/>
  <c r="D58" i="97"/>
  <c r="AV83" i="97"/>
  <c r="C83" i="97" s="1"/>
  <c r="D83" i="97"/>
  <c r="CR173" i="97"/>
  <c r="CQ68" i="97"/>
  <c r="CR9" i="97"/>
  <c r="R69" i="97"/>
  <c r="C69" i="97" s="1"/>
  <c r="D69" i="97"/>
  <c r="V175" i="97"/>
  <c r="AX73" i="97"/>
  <c r="F73" i="97"/>
  <c r="AY9" i="97"/>
  <c r="AY175" i="97" s="1"/>
  <c r="T15" i="97"/>
  <c r="F15" i="97"/>
  <c r="CS86" i="97"/>
  <c r="P67" i="109"/>
  <c r="DZ85" i="97"/>
  <c r="DX85" i="97"/>
  <c r="DW85" i="97" s="1"/>
  <c r="DV85" i="97" s="1"/>
  <c r="DU85" i="97" s="1"/>
  <c r="DT85" i="97" s="1"/>
  <c r="DS85" i="97" s="1"/>
  <c r="S29" i="97"/>
  <c r="E29" i="97"/>
  <c r="S40" i="97"/>
  <c r="E40" i="97"/>
  <c r="R79" i="97"/>
  <c r="C79" i="97" s="1"/>
  <c r="D79" i="97"/>
  <c r="BA85" i="97"/>
  <c r="BC85" i="97"/>
  <c r="I85" i="97"/>
  <c r="S35" i="97"/>
  <c r="E35" i="97"/>
  <c r="T31" i="97"/>
  <c r="F31" i="97"/>
  <c r="F41" i="97"/>
  <c r="T41" i="97"/>
  <c r="Q70" i="109"/>
  <c r="V66" i="109"/>
  <c r="I93" i="109"/>
  <c r="I95" i="109"/>
  <c r="I97" i="109"/>
  <c r="I94" i="109"/>
  <c r="I98" i="109"/>
  <c r="I96" i="109"/>
  <c r="P64" i="109"/>
  <c r="P69" i="109"/>
  <c r="E101" i="109" s="1"/>
  <c r="E102" i="109" s="1"/>
  <c r="D18" i="97"/>
  <c r="R18" i="97"/>
  <c r="C18" i="97" s="1"/>
  <c r="T24" i="97"/>
  <c r="F24" i="97"/>
  <c r="R64" i="97"/>
  <c r="C64" i="97" s="1"/>
  <c r="D64" i="97"/>
  <c r="S11" i="97"/>
  <c r="E11" i="97"/>
  <c r="DZ86" i="97"/>
  <c r="DX86" i="97"/>
  <c r="DW86" i="97" s="1"/>
  <c r="DV86" i="97" s="1"/>
  <c r="DU86" i="97" s="1"/>
  <c r="DT86" i="97" s="1"/>
  <c r="DS86" i="97" s="1"/>
  <c r="T68" i="97"/>
  <c r="U173" i="97"/>
  <c r="F68" i="97"/>
  <c r="F173" i="97" s="1"/>
  <c r="U67" i="109"/>
  <c r="T22" i="97"/>
  <c r="F22" i="97"/>
  <c r="AP86" i="97"/>
  <c r="L86" i="97" s="1"/>
  <c r="K86" i="97"/>
  <c r="AN86" i="97"/>
  <c r="I85" i="109"/>
  <c r="AE58" i="109"/>
  <c r="AE61" i="109"/>
  <c r="AE63" i="109"/>
  <c r="AE57" i="109"/>
  <c r="AE69" i="109" s="1"/>
  <c r="J99" i="109" s="1"/>
  <c r="AE59" i="109"/>
  <c r="AE60" i="109"/>
  <c r="AE66" i="109" s="1"/>
  <c r="AE62" i="109"/>
  <c r="T71" i="97"/>
  <c r="F71" i="97"/>
  <c r="T38" i="97"/>
  <c r="F38" i="97"/>
  <c r="Z60" i="109"/>
  <c r="Z63" i="109"/>
  <c r="Z59" i="109"/>
  <c r="Z61" i="109"/>
  <c r="Z58" i="109"/>
  <c r="Z62" i="109"/>
  <c r="Z57" i="109"/>
  <c r="AF37" i="109"/>
  <c r="E36" i="97"/>
  <c r="S36" i="97"/>
  <c r="G94" i="109"/>
  <c r="G98" i="109"/>
  <c r="G95" i="109"/>
  <c r="G96" i="109"/>
  <c r="G93" i="109"/>
  <c r="G97" i="109"/>
  <c r="G100" i="109"/>
  <c r="AB67" i="109"/>
  <c r="R53" i="97"/>
  <c r="C53" i="97" s="1"/>
  <c r="D53" i="97"/>
  <c r="O67" i="109"/>
  <c r="AV82" i="97"/>
  <c r="C82" i="97" s="1"/>
  <c r="D82" i="97"/>
  <c r="T64" i="109"/>
  <c r="R19" i="97"/>
  <c r="C19" i="97" s="1"/>
  <c r="D19" i="97"/>
  <c r="C74" i="97"/>
  <c r="C174" i="97" s="1"/>
  <c r="AV174" i="97"/>
  <c r="T69" i="109"/>
  <c r="I101" i="109" s="1"/>
  <c r="I102" i="109" s="1"/>
  <c r="T14" i="97"/>
  <c r="F14" i="97"/>
  <c r="F102" i="109"/>
  <c r="F100" i="109"/>
  <c r="T12" i="97"/>
  <c r="F12" i="97"/>
  <c r="S77" i="97"/>
  <c r="E77" i="97"/>
  <c r="U9" i="97"/>
  <c r="S30" i="97"/>
  <c r="E30" i="97"/>
  <c r="K67" i="109"/>
  <c r="K70" i="109" s="1"/>
  <c r="J70" i="109"/>
  <c r="BB86" i="97"/>
  <c r="AF36" i="109"/>
  <c r="R64" i="109"/>
  <c r="AB64" i="109"/>
  <c r="S42" i="97"/>
  <c r="E42" i="97"/>
  <c r="R13" i="97"/>
  <c r="C13" i="97" s="1"/>
  <c r="D13" i="97"/>
  <c r="U69" i="109"/>
  <c r="J101" i="109" s="1"/>
  <c r="J102" i="109" s="1"/>
  <c r="U64" i="109"/>
  <c r="O64" i="109"/>
  <c r="O69" i="109"/>
  <c r="AD70" i="109"/>
  <c r="AE67" i="109" l="1"/>
  <c r="J84" i="109" s="1"/>
  <c r="Y67" i="109"/>
  <c r="D84" i="109" s="1"/>
  <c r="AE70" i="109"/>
  <c r="AC70" i="109"/>
  <c r="Z69" i="109"/>
  <c r="E99" i="109" s="1"/>
  <c r="K99" i="109" s="1"/>
  <c r="CE175" i="97"/>
  <c r="CE86" i="97"/>
  <c r="CD86" i="97" s="1"/>
  <c r="AF38" i="109"/>
  <c r="Z67" i="109"/>
  <c r="AC67" i="109"/>
  <c r="H84" i="109" s="1"/>
  <c r="H82" i="110"/>
  <c r="I85" i="110"/>
  <c r="I86" i="110" s="1"/>
  <c r="AA64" i="109"/>
  <c r="AC69" i="109"/>
  <c r="H99" i="109" s="1"/>
  <c r="Y64" i="109"/>
  <c r="Y69" i="109"/>
  <c r="D99" i="109" s="1"/>
  <c r="D96" i="109" s="1"/>
  <c r="F97" i="109"/>
  <c r="F94" i="109"/>
  <c r="F98" i="109"/>
  <c r="F95" i="109"/>
  <c r="F93" i="109"/>
  <c r="F96" i="109"/>
  <c r="J87" i="110"/>
  <c r="AM49" i="97" s="1"/>
  <c r="J88" i="110"/>
  <c r="DJ49" i="97" s="1"/>
  <c r="DJ9" i="97" s="1"/>
  <c r="DJ175" i="97" s="1"/>
  <c r="AA67" i="109"/>
  <c r="F84" i="109" s="1"/>
  <c r="AR27" i="97"/>
  <c r="AS175" i="97"/>
  <c r="O27" i="97"/>
  <c r="E27" i="97"/>
  <c r="CA27" i="97"/>
  <c r="CB9" i="97"/>
  <c r="CB175" i="97" s="1"/>
  <c r="L66" i="106"/>
  <c r="AB112" i="97"/>
  <c r="K67" i="106"/>
  <c r="K72" i="106" s="1"/>
  <c r="CG28" i="97" s="1"/>
  <c r="K71" i="106"/>
  <c r="M71" i="106"/>
  <c r="CI28" i="97"/>
  <c r="M67" i="106"/>
  <c r="M72" i="106" s="1"/>
  <c r="CC86" i="97"/>
  <c r="CB86" i="97" s="1"/>
  <c r="CR86" i="97"/>
  <c r="J85" i="97"/>
  <c r="R81" i="97"/>
  <c r="C81" i="97" s="1"/>
  <c r="D81" i="97"/>
  <c r="U175" i="97"/>
  <c r="CO23" i="97"/>
  <c r="C23" i="97" s="1"/>
  <c r="D23" i="97"/>
  <c r="T9" i="97"/>
  <c r="R21" i="97"/>
  <c r="C21" i="97" s="1"/>
  <c r="D21" i="97"/>
  <c r="R54" i="97"/>
  <c r="C54" i="97" s="1"/>
  <c r="D54" i="97"/>
  <c r="AW73" i="97"/>
  <c r="AW9" i="97" s="1"/>
  <c r="AW175" i="97" s="1"/>
  <c r="E73" i="97"/>
  <c r="S15" i="97"/>
  <c r="E15" i="97"/>
  <c r="CR175" i="97"/>
  <c r="R33" i="97"/>
  <c r="C33" i="97" s="1"/>
  <c r="D33" i="97"/>
  <c r="AV37" i="97"/>
  <c r="C37" i="97" s="1"/>
  <c r="D37" i="97"/>
  <c r="AX9" i="97"/>
  <c r="AX175" i="97" s="1"/>
  <c r="CQ173" i="97"/>
  <c r="CQ9" i="97"/>
  <c r="CP68" i="97"/>
  <c r="D75" i="97"/>
  <c r="R75" i="97"/>
  <c r="C75" i="97" s="1"/>
  <c r="J78" i="109"/>
  <c r="J81" i="109"/>
  <c r="J80" i="109"/>
  <c r="J82" i="109"/>
  <c r="J83" i="109"/>
  <c r="J79" i="109"/>
  <c r="E84" i="109"/>
  <c r="AF67" i="109"/>
  <c r="I86" i="97"/>
  <c r="BC86" i="97"/>
  <c r="J86" i="97" s="1"/>
  <c r="BA86" i="97"/>
  <c r="AZ86" i="97" s="1"/>
  <c r="AY86" i="97" s="1"/>
  <c r="D97" i="109"/>
  <c r="D95" i="109"/>
  <c r="D98" i="109"/>
  <c r="D94" i="109"/>
  <c r="D93" i="109"/>
  <c r="D86" i="109"/>
  <c r="V67" i="109"/>
  <c r="G84" i="109"/>
  <c r="AB70" i="109"/>
  <c r="D36" i="97"/>
  <c r="R36" i="97"/>
  <c r="C36" i="97" s="1"/>
  <c r="Z64" i="109"/>
  <c r="J94" i="109"/>
  <c r="J98" i="109"/>
  <c r="J100" i="109"/>
  <c r="J93" i="109"/>
  <c r="J95" i="109"/>
  <c r="J97" i="109"/>
  <c r="J96" i="109"/>
  <c r="AE64" i="109"/>
  <c r="J86" i="109"/>
  <c r="J87" i="109" s="1"/>
  <c r="U70" i="109"/>
  <c r="S68" i="97"/>
  <c r="T173" i="97"/>
  <c r="E68" i="97"/>
  <c r="E173" i="97" s="1"/>
  <c r="S24" i="97"/>
  <c r="E24" i="97"/>
  <c r="R29" i="97"/>
  <c r="C29" i="97" s="1"/>
  <c r="D29" i="97"/>
  <c r="E86" i="109"/>
  <c r="E87" i="109" s="1"/>
  <c r="P70" i="109"/>
  <c r="D77" i="97"/>
  <c r="R77" i="97"/>
  <c r="C77" i="97" s="1"/>
  <c r="Z66" i="109"/>
  <c r="E71" i="97"/>
  <c r="S71" i="97"/>
  <c r="S31" i="97"/>
  <c r="E31" i="97"/>
  <c r="D101" i="109"/>
  <c r="D100" i="109" s="1"/>
  <c r="V69" i="109"/>
  <c r="R30" i="97"/>
  <c r="C30" i="97" s="1"/>
  <c r="D30" i="97"/>
  <c r="S22" i="97"/>
  <c r="E22" i="97"/>
  <c r="R11" i="97"/>
  <c r="D11" i="97"/>
  <c r="I100" i="109"/>
  <c r="T70" i="109"/>
  <c r="E41" i="97"/>
  <c r="S41" i="97"/>
  <c r="H85" i="97"/>
  <c r="AZ85" i="97"/>
  <c r="R40" i="97"/>
  <c r="C40" i="97" s="1"/>
  <c r="D40" i="97"/>
  <c r="R42" i="97"/>
  <c r="C42" i="97" s="1"/>
  <c r="D42" i="97"/>
  <c r="S12" i="97"/>
  <c r="E12" i="97"/>
  <c r="S14" i="97"/>
  <c r="E14" i="97"/>
  <c r="S38" i="97"/>
  <c r="E38" i="97"/>
  <c r="O70" i="109"/>
  <c r="R35" i="97"/>
  <c r="C35" i="97" s="1"/>
  <c r="D35" i="97"/>
  <c r="AF69" i="109" l="1"/>
  <c r="H97" i="109"/>
  <c r="H93" i="109"/>
  <c r="H100" i="109"/>
  <c r="H95" i="109"/>
  <c r="H94" i="109"/>
  <c r="H96" i="109"/>
  <c r="H98" i="109"/>
  <c r="I88" i="110"/>
  <c r="DI49" i="97" s="1"/>
  <c r="DI9" i="97" s="1"/>
  <c r="I87" i="110"/>
  <c r="AL49" i="97" s="1"/>
  <c r="H49" i="97" s="1"/>
  <c r="G82" i="110"/>
  <c r="H85" i="110"/>
  <c r="H86" i="110" s="1"/>
  <c r="H81" i="109"/>
  <c r="H80" i="109"/>
  <c r="H79" i="109"/>
  <c r="H78" i="109"/>
  <c r="H83" i="109"/>
  <c r="H85" i="109"/>
  <c r="H82" i="109"/>
  <c r="D79" i="109"/>
  <c r="D78" i="109"/>
  <c r="D83" i="109"/>
  <c r="D80" i="109"/>
  <c r="D81" i="109"/>
  <c r="D82" i="109"/>
  <c r="F78" i="109"/>
  <c r="F79" i="109"/>
  <c r="F82" i="109"/>
  <c r="F83" i="109"/>
  <c r="F81" i="109"/>
  <c r="F80" i="109"/>
  <c r="F85" i="109"/>
  <c r="Y70" i="109"/>
  <c r="I49" i="97"/>
  <c r="AA70" i="109"/>
  <c r="O9" i="97"/>
  <c r="O175" i="97" s="1"/>
  <c r="L67" i="106"/>
  <c r="L72" i="106" s="1"/>
  <c r="CH28" i="97" s="1"/>
  <c r="L71" i="106"/>
  <c r="J28" i="97"/>
  <c r="CG9" i="97"/>
  <c r="CG175" i="97" s="1"/>
  <c r="L28" i="97"/>
  <c r="CI9" i="97"/>
  <c r="CI175" i="97" s="1"/>
  <c r="BZ27" i="97"/>
  <c r="CA9" i="97"/>
  <c r="CA175" i="97" s="1"/>
  <c r="D27" i="97"/>
  <c r="AQ27" i="97"/>
  <c r="N27" i="97"/>
  <c r="N9" i="97" s="1"/>
  <c r="N175" i="97" s="1"/>
  <c r="AR9" i="97"/>
  <c r="AR175" i="97" s="1"/>
  <c r="AX86" i="97"/>
  <c r="AW86" i="97" s="1"/>
  <c r="S9" i="97"/>
  <c r="T175" i="97"/>
  <c r="CO68" i="97"/>
  <c r="CP173" i="97"/>
  <c r="CP9" i="97"/>
  <c r="R15" i="97"/>
  <c r="C15" i="97" s="1"/>
  <c r="D15" i="97"/>
  <c r="CQ175" i="97"/>
  <c r="CQ86" i="97"/>
  <c r="AV73" i="97"/>
  <c r="D73" i="97"/>
  <c r="R41" i="97"/>
  <c r="C41" i="97" s="1"/>
  <c r="D41" i="97"/>
  <c r="AF66" i="109"/>
  <c r="AF70" i="109" s="1"/>
  <c r="Z70" i="109"/>
  <c r="K86" i="109"/>
  <c r="D87" i="109"/>
  <c r="K87" i="109" s="1"/>
  <c r="D85" i="109"/>
  <c r="R38" i="97"/>
  <c r="C38" i="97" s="1"/>
  <c r="D38" i="97"/>
  <c r="D12" i="97"/>
  <c r="R12" i="97"/>
  <c r="C12" i="97" s="1"/>
  <c r="R22" i="97"/>
  <c r="C22" i="97" s="1"/>
  <c r="D22" i="97"/>
  <c r="R31" i="97"/>
  <c r="C31" i="97" s="1"/>
  <c r="D31" i="97"/>
  <c r="G85" i="97"/>
  <c r="AY85" i="97"/>
  <c r="C11" i="97"/>
  <c r="D71" i="97"/>
  <c r="R71" i="97"/>
  <c r="C71" i="97" s="1"/>
  <c r="S173" i="97"/>
  <c r="D68" i="97"/>
  <c r="D173" i="97" s="1"/>
  <c r="R68" i="97"/>
  <c r="G82" i="109"/>
  <c r="G83" i="109"/>
  <c r="G85" i="109"/>
  <c r="G78" i="109"/>
  <c r="G80" i="109"/>
  <c r="G79" i="109"/>
  <c r="G81" i="109"/>
  <c r="E96" i="109"/>
  <c r="K96" i="109" s="1"/>
  <c r="E93" i="109"/>
  <c r="K93" i="109" s="1"/>
  <c r="E95" i="109"/>
  <c r="K95" i="109" s="1"/>
  <c r="E98" i="109"/>
  <c r="K98" i="109" s="1"/>
  <c r="E97" i="109"/>
  <c r="E94" i="109"/>
  <c r="K94" i="109" s="1"/>
  <c r="E100" i="109"/>
  <c r="K100" i="109" s="1"/>
  <c r="S175" i="97"/>
  <c r="J85" i="109"/>
  <c r="E82" i="109"/>
  <c r="K82" i="109" s="1"/>
  <c r="E79" i="109"/>
  <c r="K79" i="109" s="1"/>
  <c r="E83" i="109"/>
  <c r="E81" i="109"/>
  <c r="E85" i="109"/>
  <c r="E78" i="109"/>
  <c r="E80" i="109"/>
  <c r="K80" i="109" s="1"/>
  <c r="K84" i="109"/>
  <c r="R14" i="97"/>
  <c r="C14" i="97" s="1"/>
  <c r="D14" i="97"/>
  <c r="D102" i="109"/>
  <c r="K102" i="109" s="1"/>
  <c r="K101" i="109"/>
  <c r="R24" i="97"/>
  <c r="C24" i="97" s="1"/>
  <c r="D24" i="97"/>
  <c r="V70" i="109"/>
  <c r="K97" i="109"/>
  <c r="H88" i="110" l="1"/>
  <c r="DH49" i="97" s="1"/>
  <c r="DH9" i="97" s="1"/>
  <c r="DH175" i="97" s="1"/>
  <c r="H87" i="110"/>
  <c r="AK49" i="97" s="1"/>
  <c r="G49" i="97" s="1"/>
  <c r="K78" i="109"/>
  <c r="F82" i="110"/>
  <c r="G85" i="110"/>
  <c r="G86" i="110" s="1"/>
  <c r="K85" i="109"/>
  <c r="DI175" i="97"/>
  <c r="DI86" i="97"/>
  <c r="DH86" i="97" s="1"/>
  <c r="CP175" i="97"/>
  <c r="C27" i="97"/>
  <c r="BZ9" i="97"/>
  <c r="BZ175" i="97" s="1"/>
  <c r="K28" i="97"/>
  <c r="AB113" i="97"/>
  <c r="CH9" i="97"/>
  <c r="CH175" i="97" s="1"/>
  <c r="AP27" i="97"/>
  <c r="M27" i="97"/>
  <c r="M9" i="97" s="1"/>
  <c r="M175" i="97" s="1"/>
  <c r="AQ9" i="97"/>
  <c r="AQ175" i="97" s="1"/>
  <c r="CA86" i="97"/>
  <c r="CP86" i="97"/>
  <c r="CO173" i="97"/>
  <c r="CO9" i="97"/>
  <c r="CO175" i="97" s="1"/>
  <c r="C73" i="97"/>
  <c r="AV9" i="97"/>
  <c r="R9" i="97"/>
  <c r="K81" i="109"/>
  <c r="R173" i="97"/>
  <c r="C68" i="97"/>
  <c r="C173" i="97" s="1"/>
  <c r="K83" i="109"/>
  <c r="AX85" i="97"/>
  <c r="F85" i="97"/>
  <c r="G88" i="110" l="1"/>
  <c r="DG49" i="97" s="1"/>
  <c r="G87" i="110"/>
  <c r="E82" i="110"/>
  <c r="F85" i="110"/>
  <c r="F86" i="110" s="1"/>
  <c r="BZ86" i="97"/>
  <c r="L27" i="97"/>
  <c r="L9" i="97" s="1"/>
  <c r="L175" i="97" s="1"/>
  <c r="AO27" i="97"/>
  <c r="AP9" i="97"/>
  <c r="AP175" i="97" s="1"/>
  <c r="AV175" i="97"/>
  <c r="AV86" i="97"/>
  <c r="CO86" i="97"/>
  <c r="AW85" i="97"/>
  <c r="E85" i="97"/>
  <c r="R175" i="97"/>
  <c r="F88" i="110" l="1"/>
  <c r="DF49" i="97" s="1"/>
  <c r="F87" i="110"/>
  <c r="D82" i="110"/>
  <c r="D85" i="110" s="1"/>
  <c r="D86" i="110" s="1"/>
  <c r="E85" i="110"/>
  <c r="E86" i="110" s="1"/>
  <c r="DG9" i="97"/>
  <c r="F49" i="97"/>
  <c r="F9" i="97" s="1"/>
  <c r="F175" i="97" s="1"/>
  <c r="AN27" i="97"/>
  <c r="AO9" i="97"/>
  <c r="AO175" i="97" s="1"/>
  <c r="K27" i="97"/>
  <c r="K9" i="97" s="1"/>
  <c r="V112" i="97"/>
  <c r="AV85" i="97"/>
  <c r="C85" i="97" s="1"/>
  <c r="D85" i="97"/>
  <c r="DG175" i="97" l="1"/>
  <c r="DG86" i="97"/>
  <c r="E87" i="110"/>
  <c r="E88" i="110"/>
  <c r="DE49" i="97" s="1"/>
  <c r="D87" i="110"/>
  <c r="D88" i="110"/>
  <c r="DD49" i="97" s="1"/>
  <c r="E49" i="97"/>
  <c r="E9" i="97" s="1"/>
  <c r="E175" i="97" s="1"/>
  <c r="DF9" i="97"/>
  <c r="DF175" i="97" s="1"/>
  <c r="K175" i="97"/>
  <c r="E272" i="97"/>
  <c r="AM27" i="97"/>
  <c r="J27" i="97"/>
  <c r="J9" i="97" s="1"/>
  <c r="J175" i="97" s="1"/>
  <c r="AN9" i="97"/>
  <c r="AN175" i="97" s="1"/>
  <c r="DE9" i="97" l="1"/>
  <c r="DE175" i="97" s="1"/>
  <c r="D49" i="97"/>
  <c r="D9" i="97" s="1"/>
  <c r="D175" i="97" s="1"/>
  <c r="C49" i="97"/>
  <c r="C9" i="97" s="1"/>
  <c r="DD9" i="97"/>
  <c r="DD175" i="97" s="1"/>
  <c r="DF86" i="97"/>
  <c r="DE86" i="97" s="1"/>
  <c r="AL27" i="97"/>
  <c r="AM9" i="97"/>
  <c r="AM175" i="97" s="1"/>
  <c r="I27" i="97"/>
  <c r="I9" i="97" s="1"/>
  <c r="I175" i="97" s="1"/>
  <c r="C175" i="97" l="1"/>
  <c r="E271" i="97"/>
  <c r="DD86" i="97"/>
  <c r="H27" i="97"/>
  <c r="H9" i="97" s="1"/>
  <c r="H175" i="97" s="1"/>
  <c r="AL9" i="97"/>
  <c r="AK27" i="97"/>
  <c r="AL175" i="97" l="1"/>
  <c r="AL86" i="97"/>
  <c r="G27" i="97"/>
  <c r="G9" i="97" s="1"/>
  <c r="G175" i="97" s="1"/>
  <c r="AK9" i="97"/>
  <c r="AK175" i="97" s="1"/>
  <c r="AK86" i="97" l="1"/>
  <c r="H86" i="97"/>
  <c r="AJ86" i="97" l="1"/>
  <c r="G86" i="97"/>
  <c r="AI86" i="97" l="1"/>
  <c r="F86" i="97"/>
  <c r="AH86" i="97" l="1"/>
  <c r="E86" i="97"/>
  <c r="D86" i="97" l="1"/>
  <c r="AG86" i="97"/>
  <c r="C86" i="9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Joe Pickin</author>
    <author>Microsoft Office User</author>
  </authors>
  <commentList>
    <comment ref="AX5" authorId="0" shapeId="0" xr:uid="{818C0DA8-B7B7-43DB-A4F8-B6F56124E5F4}">
      <text>
        <r>
          <rPr>
            <b/>
            <sz val="9"/>
            <color rgb="FF000000"/>
            <rFont val="Tahoma"/>
            <family val="2"/>
          </rPr>
          <t>Joe Pickin:</t>
        </r>
        <r>
          <rPr>
            <sz val="9"/>
            <color rgb="FF000000"/>
            <rFont val="Tahoma"/>
            <family val="2"/>
          </rPr>
          <t xml:space="preserve">
</t>
        </r>
        <r>
          <rPr>
            <sz val="9"/>
            <color rgb="FF000000"/>
            <rFont val="Tahoma"/>
            <family val="2"/>
          </rPr>
          <t xml:space="preserve">Applied to the average of known data, except when there is a good reason otherwise
</t>
        </r>
      </text>
    </comment>
    <comment ref="Y12" authorId="1" shapeId="0" xr:uid="{9758BFE4-A79C-1247-B150-00983AE4FF5B}">
      <text>
        <r>
          <rPr>
            <b/>
            <sz val="10"/>
            <color rgb="FF000000"/>
            <rFont val="Tahoma"/>
            <family val="2"/>
          </rPr>
          <t>Microsoft Office User:</t>
        </r>
        <r>
          <rPr>
            <sz val="10"/>
            <color rgb="FF000000"/>
            <rFont val="Tahoma"/>
            <family val="2"/>
          </rPr>
          <t xml:space="preserve">
</t>
        </r>
        <r>
          <rPr>
            <sz val="10"/>
            <color rgb="FF000000"/>
            <rFont val="Calibri"/>
            <family val="2"/>
          </rPr>
          <t>Average for back-casting excludes outlier from 2014-15.</t>
        </r>
      </text>
    </comment>
    <comment ref="Y14" authorId="1" shapeId="0" xr:uid="{653B0D3B-2ACD-6945-B69E-8B1DC2EFA73C}">
      <text>
        <r>
          <rPr>
            <b/>
            <sz val="10"/>
            <color rgb="FF000000"/>
            <rFont val="Tahoma"/>
            <family val="2"/>
          </rPr>
          <t>Microsoft Office User:</t>
        </r>
        <r>
          <rPr>
            <sz val="10"/>
            <color rgb="FF000000"/>
            <rFont val="Tahoma"/>
            <family val="2"/>
          </rPr>
          <t xml:space="preserve">
</t>
        </r>
        <r>
          <rPr>
            <sz val="10"/>
            <color rgb="FF000000"/>
            <rFont val="Calibri"/>
            <family val="2"/>
            <scheme val="minor"/>
          </rPr>
          <t>Average for back-casting excludes outlier from 2014-15.</t>
        </r>
        <r>
          <rPr>
            <sz val="10"/>
            <color rgb="FF000000"/>
            <rFont val="Calibri"/>
            <family val="2"/>
            <scheme val="minor"/>
          </rPr>
          <t xml:space="preserve">
</t>
        </r>
      </text>
    </comment>
    <comment ref="AS27" authorId="1" shapeId="0" xr:uid="{B8B609FA-BBBD-C047-A3B5-8A77F653B966}">
      <text>
        <r>
          <rPr>
            <b/>
            <sz val="10"/>
            <color rgb="FF000000"/>
            <rFont val="Tahoma"/>
            <family val="2"/>
          </rPr>
          <t>Microsoft Office User:</t>
        </r>
        <r>
          <rPr>
            <sz val="10"/>
            <color rgb="FF000000"/>
            <rFont val="Tahoma"/>
            <family val="2"/>
          </rPr>
          <t xml:space="preserve">
</t>
        </r>
        <r>
          <rPr>
            <sz val="10"/>
            <color rgb="FF000000"/>
            <rFont val="Tahoma"/>
            <family val="2"/>
          </rPr>
          <t>New method: total market estimate minus other jurisdictions = NSW generation (wrt ULABs)</t>
        </r>
      </text>
    </comment>
    <comment ref="CL27" authorId="1" shapeId="0" xr:uid="{B917A922-A0A6-DD49-98BB-8D3D171D0686}">
      <text>
        <r>
          <rPr>
            <b/>
            <sz val="10"/>
            <color rgb="FF000000"/>
            <rFont val="Tahoma"/>
            <family val="2"/>
          </rPr>
          <t>Microsoft Office User:</t>
        </r>
        <r>
          <rPr>
            <sz val="10"/>
            <color rgb="FF000000"/>
            <rFont val="Tahoma"/>
            <family val="2"/>
          </rPr>
          <t xml:space="preserve">
</t>
        </r>
        <r>
          <rPr>
            <sz val="10"/>
            <color rgb="FF000000"/>
            <rFont val="Tahoma"/>
            <family val="2"/>
          </rPr>
          <t>Tas imports missing from SA data - update next year. Temporary method: pop forecast</t>
        </r>
      </text>
    </comment>
    <comment ref="DP27" authorId="1" shapeId="0" xr:uid="{50C81BA1-1DCF-504D-A243-8992A2BA892F}">
      <text>
        <r>
          <rPr>
            <b/>
            <sz val="10"/>
            <color rgb="FF000000"/>
            <rFont val="Tahoma"/>
            <family val="2"/>
          </rPr>
          <t>Microsoft Office User:</t>
        </r>
        <r>
          <rPr>
            <sz val="10"/>
            <color rgb="FF000000"/>
            <rFont val="Tahoma"/>
            <family val="2"/>
          </rPr>
          <t xml:space="preserve">
</t>
        </r>
        <r>
          <rPr>
            <sz val="10"/>
            <color rgb="FF000000"/>
            <rFont val="Calibri"/>
            <family val="2"/>
          </rPr>
          <t xml:space="preserve">No SA import data provided so typical NEPM data (D220/D) proportion added to other Vic generation
</t>
        </r>
      </text>
    </comment>
    <comment ref="AS28" authorId="1" shapeId="0" xr:uid="{67F75C2D-58CB-BD4E-B3BE-CD7BF1207F64}">
      <text>
        <r>
          <rPr>
            <b/>
            <sz val="10"/>
            <color rgb="FF000000"/>
            <rFont val="Tahoma"/>
            <family val="2"/>
          </rPr>
          <t>Microsoft Office User:</t>
        </r>
        <r>
          <rPr>
            <sz val="10"/>
            <color rgb="FF000000"/>
            <rFont val="Tahoma"/>
            <family val="2"/>
          </rPr>
          <t xml:space="preserve">
</t>
        </r>
        <r>
          <rPr>
            <sz val="10"/>
            <color rgb="FF000000"/>
            <rFont val="Tahoma"/>
            <family val="2"/>
          </rPr>
          <t>No SA import data provided so CAGR from previous 5 yrs</t>
        </r>
      </text>
    </comment>
    <comment ref="DJ28" authorId="1" shapeId="0" xr:uid="{C4EB621A-1214-614B-A60F-548FF256ED79}">
      <text>
        <r>
          <rPr>
            <b/>
            <sz val="10"/>
            <color rgb="FF000000"/>
            <rFont val="Tahoma"/>
            <family val="2"/>
          </rPr>
          <t>Microsoft Office User:</t>
        </r>
        <r>
          <rPr>
            <sz val="10"/>
            <color rgb="FF000000"/>
            <rFont val="Tahoma"/>
            <family val="2"/>
          </rPr>
          <t xml:space="preserve">
</t>
        </r>
        <r>
          <rPr>
            <sz val="10"/>
            <color rgb="FF000000"/>
            <rFont val="Tahoma"/>
            <family val="2"/>
          </rPr>
          <t>Assume Vic arisings of D230 include SA exports 2006-07 to 2012/13 then do not include from 2013/14 onwards</t>
        </r>
      </text>
    </comment>
    <comment ref="DP28" authorId="1" shapeId="0" xr:uid="{8362B2C9-6F43-6540-BA59-8C8688C710F4}">
      <text>
        <r>
          <rPr>
            <b/>
            <sz val="10"/>
            <color rgb="FF000000"/>
            <rFont val="Tahoma"/>
            <family val="2"/>
          </rPr>
          <t>Microsoft Office User:</t>
        </r>
        <r>
          <rPr>
            <sz val="10"/>
            <color rgb="FF000000"/>
            <rFont val="Tahoma"/>
            <family val="2"/>
          </rPr>
          <t xml:space="preserve">
</t>
        </r>
        <r>
          <rPr>
            <sz val="10"/>
            <color rgb="FF000000"/>
            <rFont val="Calibri"/>
            <family val="2"/>
          </rPr>
          <t xml:space="preserve">No SA import data provided so typical NEPM data (D230/D) proportion added to other Vic generation
</t>
        </r>
        <r>
          <rPr>
            <sz val="10"/>
            <color rgb="FF000000"/>
            <rFont val="Calibri"/>
            <family val="2"/>
          </rPr>
          <t xml:space="preserve">
</t>
        </r>
      </text>
    </comment>
    <comment ref="AO43" authorId="1" shapeId="0" xr:uid="{8D68DAD8-3549-EB47-B6DA-63EF5CAB3326}">
      <text>
        <r>
          <rPr>
            <b/>
            <sz val="10"/>
            <color rgb="FF000000"/>
            <rFont val="Tahoma"/>
            <family val="2"/>
          </rPr>
          <t>Microsoft Office User:</t>
        </r>
        <r>
          <rPr>
            <sz val="10"/>
            <color rgb="FF000000"/>
            <rFont val="Tahoma"/>
            <family val="2"/>
          </rPr>
          <t xml:space="preserve">
</t>
        </r>
        <r>
          <rPr>
            <sz val="10"/>
            <color rgb="FF000000"/>
            <rFont val="Calibri"/>
            <family val="2"/>
          </rPr>
          <t>'Arisings' converted to 'generation' using DC correction</t>
        </r>
      </text>
    </comment>
    <comment ref="AP43" authorId="1" shapeId="0" xr:uid="{CAE6B4D2-EAA1-CB4B-9419-F5ACE1593B64}">
      <text>
        <r>
          <rPr>
            <b/>
            <sz val="10"/>
            <color rgb="FF000000"/>
            <rFont val="Tahoma"/>
            <family val="2"/>
          </rPr>
          <t>Microsoft Office User:</t>
        </r>
        <r>
          <rPr>
            <sz val="10"/>
            <color rgb="FF000000"/>
            <rFont val="Tahoma"/>
            <family val="2"/>
          </rPr>
          <t xml:space="preserve">
</t>
        </r>
        <r>
          <rPr>
            <sz val="10"/>
            <color rgb="FF000000"/>
            <rFont val="Calibri"/>
            <family val="2"/>
          </rPr>
          <t>'Arisings' converted to 'generation' using DC correction</t>
        </r>
        <r>
          <rPr>
            <sz val="10"/>
            <color rgb="FF000000"/>
            <rFont val="Tahoma"/>
            <family val="2"/>
          </rPr>
          <t xml:space="preserve"> and 2016-17 storage of 1,207 tonnes</t>
        </r>
      </text>
    </comment>
    <comment ref="AQ43" authorId="1" shapeId="0" xr:uid="{BD1598E2-D7FC-074A-882F-997CCCA86FFC}">
      <text>
        <r>
          <rPr>
            <b/>
            <sz val="10"/>
            <color rgb="FF000000"/>
            <rFont val="Tahoma"/>
            <family val="2"/>
          </rPr>
          <t>Microsoft Office User:</t>
        </r>
        <r>
          <rPr>
            <sz val="10"/>
            <color rgb="FF000000"/>
            <rFont val="Tahoma"/>
            <family val="2"/>
          </rPr>
          <t xml:space="preserve">
</t>
        </r>
        <r>
          <rPr>
            <sz val="10"/>
            <color rgb="FF000000"/>
            <rFont val="Calibri"/>
            <family val="2"/>
          </rPr>
          <t>'Arisings' converted to 'generation' using DC correction</t>
        </r>
      </text>
    </comment>
    <comment ref="AR43" authorId="1" shapeId="0" xr:uid="{10E93BFA-B9FF-E04C-9B07-2C942D43B0EF}">
      <text>
        <r>
          <rPr>
            <b/>
            <sz val="10"/>
            <color rgb="FF000000"/>
            <rFont val="Tahoma"/>
            <family val="2"/>
          </rPr>
          <t>Microsoft Office User:</t>
        </r>
        <r>
          <rPr>
            <sz val="10"/>
            <color rgb="FF000000"/>
            <rFont val="Tahoma"/>
            <family val="2"/>
          </rPr>
          <t xml:space="preserve">
</t>
        </r>
        <r>
          <rPr>
            <sz val="10"/>
            <color rgb="FF000000"/>
            <rFont val="Calibri"/>
            <family val="2"/>
          </rPr>
          <t xml:space="preserve">'Arisings' converted to 'generation' using DC correction
</t>
        </r>
      </text>
    </comment>
    <comment ref="AS43" authorId="0" shapeId="0" xr:uid="{C762465D-96E7-0441-A755-7BCBD42622F5}">
      <text>
        <r>
          <rPr>
            <b/>
            <sz val="9"/>
            <color rgb="FF000000"/>
            <rFont val="Tahoma"/>
            <family val="2"/>
          </rPr>
          <t>Joe Pickin:</t>
        </r>
        <r>
          <rPr>
            <sz val="9"/>
            <color rgb="FF000000"/>
            <rFont val="Tahoma"/>
            <family val="2"/>
          </rPr>
          <t xml:space="preserve">
</t>
        </r>
        <r>
          <rPr>
            <sz val="9"/>
            <color rgb="FF000000"/>
            <rFont val="Tahoma"/>
            <family val="2"/>
          </rPr>
          <t>'Arisings' converted to 'generation' using DC correction</t>
        </r>
      </text>
    </comment>
    <comment ref="CI43" authorId="1" shapeId="0" xr:uid="{6C7E39CD-3E41-5F42-BB61-F54D93BE8276}">
      <text>
        <r>
          <rPr>
            <b/>
            <sz val="10"/>
            <color rgb="FF000000"/>
            <rFont val="Tahoma"/>
            <family val="2"/>
          </rPr>
          <t>Microsoft Office User:</t>
        </r>
        <r>
          <rPr>
            <sz val="10"/>
            <color rgb="FF000000"/>
            <rFont val="Tahoma"/>
            <family val="2"/>
          </rPr>
          <t xml:space="preserve">
</t>
        </r>
        <r>
          <rPr>
            <sz val="10"/>
            <color rgb="FF000000"/>
            <rFont val="Calibri"/>
            <family val="2"/>
          </rPr>
          <t xml:space="preserve">'Arisings' converted to 'generation' using DC correction </t>
        </r>
      </text>
    </comment>
    <comment ref="CJ43" authorId="1" shapeId="0" xr:uid="{C0DD0A1F-CB2C-D44A-9106-F2B63FC96DA7}">
      <text>
        <r>
          <rPr>
            <b/>
            <sz val="10"/>
            <color rgb="FF000000"/>
            <rFont val="Tahoma"/>
            <family val="2"/>
          </rPr>
          <t>Microsoft Office User:</t>
        </r>
        <r>
          <rPr>
            <sz val="10"/>
            <color rgb="FF000000"/>
            <rFont val="Tahoma"/>
            <family val="2"/>
          </rPr>
          <t xml:space="preserve">
</t>
        </r>
        <r>
          <rPr>
            <sz val="10"/>
            <color rgb="FF000000"/>
            <rFont val="Calibri"/>
            <family val="2"/>
          </rPr>
          <t xml:space="preserve">'Arisings' converted to 'generation' using DC correction 
</t>
        </r>
      </text>
    </comment>
    <comment ref="CK43" authorId="1" shapeId="0" xr:uid="{3F917585-1B94-1D46-A678-02DF0A59DB01}">
      <text>
        <r>
          <rPr>
            <b/>
            <sz val="10"/>
            <color rgb="FF000000"/>
            <rFont val="Tahoma"/>
            <family val="2"/>
          </rPr>
          <t>Microsoft Office User:</t>
        </r>
        <r>
          <rPr>
            <sz val="10"/>
            <color rgb="FF000000"/>
            <rFont val="Tahoma"/>
            <family val="2"/>
          </rPr>
          <t xml:space="preserve">
</t>
        </r>
        <r>
          <rPr>
            <sz val="10"/>
            <color rgb="FF000000"/>
            <rFont val="Calibri"/>
            <family val="2"/>
            <scheme val="minor"/>
          </rPr>
          <t xml:space="preserve">'Arisings' converted to 'generation' using DC correction </t>
        </r>
        <r>
          <rPr>
            <sz val="10"/>
            <color rgb="FF000000"/>
            <rFont val="Calibri"/>
            <family val="2"/>
            <scheme val="minor"/>
          </rPr>
          <t xml:space="preserve">
</t>
        </r>
      </text>
    </comment>
    <comment ref="CL43" authorId="1" shapeId="0" xr:uid="{77237B39-CB8B-7145-8EAE-B9A01556AC91}">
      <text>
        <r>
          <rPr>
            <b/>
            <sz val="10"/>
            <color rgb="FF000000"/>
            <rFont val="Tahoma"/>
            <family val="2"/>
          </rPr>
          <t>Microsoft Office User:</t>
        </r>
        <r>
          <rPr>
            <sz val="10"/>
            <color rgb="FF000000"/>
            <rFont val="Tahoma"/>
            <family val="2"/>
          </rPr>
          <t xml:space="preserve">
</t>
        </r>
        <r>
          <rPr>
            <sz val="10"/>
            <color rgb="FF000000"/>
            <rFont val="Calibri"/>
            <family val="2"/>
            <scheme val="minor"/>
          </rPr>
          <t xml:space="preserve">'Arisings' converted to 'generation' using DC correction </t>
        </r>
        <r>
          <rPr>
            <sz val="10"/>
            <color rgb="FF000000"/>
            <rFont val="Calibri"/>
            <family val="2"/>
            <scheme val="minor"/>
          </rPr>
          <t xml:space="preserve">
</t>
        </r>
      </text>
    </comment>
    <comment ref="DL43" authorId="1" shapeId="0" xr:uid="{6183BDB9-A875-1E45-B3B3-02BB34B1A627}">
      <text>
        <r>
          <rPr>
            <b/>
            <sz val="10"/>
            <color rgb="FF000000"/>
            <rFont val="Tahoma"/>
            <family val="2"/>
          </rPr>
          <t>Microsoft Office User:</t>
        </r>
        <r>
          <rPr>
            <sz val="10"/>
            <color rgb="FF000000"/>
            <rFont val="Tahoma"/>
            <family val="2"/>
          </rPr>
          <t xml:space="preserve">
</t>
        </r>
        <r>
          <rPr>
            <sz val="10"/>
            <color rgb="FF000000"/>
            <rFont val="Calibri"/>
            <family val="2"/>
          </rPr>
          <t>'Arisings' converted to 'generation' using DC correction</t>
        </r>
      </text>
    </comment>
    <comment ref="DM43" authorId="1" shapeId="0" xr:uid="{C37BE888-D451-F143-83D8-9EB3EB9F0270}">
      <text>
        <r>
          <rPr>
            <b/>
            <sz val="10"/>
            <color rgb="FF000000"/>
            <rFont val="Tahoma"/>
            <family val="2"/>
          </rPr>
          <t>Microsoft Office User:</t>
        </r>
        <r>
          <rPr>
            <sz val="10"/>
            <color rgb="FF000000"/>
            <rFont val="Tahoma"/>
            <family val="2"/>
          </rPr>
          <t xml:space="preserve">
</t>
        </r>
        <r>
          <rPr>
            <sz val="10"/>
            <color rgb="FF000000"/>
            <rFont val="Calibri"/>
            <family val="2"/>
            <scheme val="minor"/>
          </rPr>
          <t>'Arisings' converted to 'generation' using DC correction and 2016-17 storage of 1,731 tonnes</t>
        </r>
      </text>
    </comment>
    <comment ref="DN43" authorId="1" shapeId="0" xr:uid="{0BD11A07-297D-9246-BAC7-AED2FA83EC11}">
      <text>
        <r>
          <rPr>
            <b/>
            <sz val="10"/>
            <color rgb="FF000000"/>
            <rFont val="Tahoma"/>
            <family val="2"/>
          </rPr>
          <t>Microsoft Office User:</t>
        </r>
        <r>
          <rPr>
            <sz val="10"/>
            <color rgb="FF000000"/>
            <rFont val="Tahoma"/>
            <family val="2"/>
          </rPr>
          <t xml:space="preserve">
</t>
        </r>
        <r>
          <rPr>
            <sz val="10"/>
            <color rgb="FF000000"/>
            <rFont val="Calibri"/>
            <family val="2"/>
            <scheme val="minor"/>
          </rPr>
          <t>'Arisings' converted to 'generation' using DC correction</t>
        </r>
      </text>
    </comment>
    <comment ref="DO43" authorId="1" shapeId="0" xr:uid="{8744B57D-35DE-A64C-A295-C07179BBB160}">
      <text>
        <r>
          <rPr>
            <b/>
            <sz val="10"/>
            <color rgb="FF000000"/>
            <rFont val="Tahoma"/>
            <family val="2"/>
          </rPr>
          <t>Microsoft Office User:</t>
        </r>
        <r>
          <rPr>
            <sz val="10"/>
            <color rgb="FF000000"/>
            <rFont val="Tahoma"/>
            <family val="2"/>
          </rPr>
          <t xml:space="preserve">
</t>
        </r>
        <r>
          <rPr>
            <sz val="10"/>
            <color rgb="FF000000"/>
            <rFont val="Calibri"/>
            <family val="2"/>
            <scheme val="minor"/>
          </rPr>
          <t xml:space="preserve">'Arisings' converted to 'generation' using DC correction </t>
        </r>
      </text>
    </comment>
    <comment ref="DP43" authorId="1" shapeId="0" xr:uid="{7819003A-CCD3-8340-8137-DE5BFBE5FA4D}">
      <text>
        <r>
          <rPr>
            <b/>
            <sz val="10"/>
            <color rgb="FF000000"/>
            <rFont val="Tahoma"/>
            <family val="2"/>
          </rPr>
          <t>Microsoft Office User:</t>
        </r>
        <r>
          <rPr>
            <sz val="10"/>
            <color rgb="FF000000"/>
            <rFont val="Tahoma"/>
            <family val="2"/>
          </rPr>
          <t xml:space="preserve">
</t>
        </r>
        <r>
          <rPr>
            <sz val="10"/>
            <color rgb="FF000000"/>
            <rFont val="Calibri"/>
            <family val="2"/>
            <scheme val="minor"/>
          </rPr>
          <t xml:space="preserve">'Arisings' converted to 'generation' using DC correction </t>
        </r>
      </text>
    </comment>
    <comment ref="EA43" authorId="1" shapeId="0" xr:uid="{2DF9DFF5-1A33-3448-948F-2CFF9B376979}">
      <text>
        <r>
          <rPr>
            <b/>
            <sz val="10"/>
            <color rgb="FF000000"/>
            <rFont val="Tahoma"/>
            <family val="2"/>
          </rPr>
          <t>Microsoft Office User:</t>
        </r>
        <r>
          <rPr>
            <sz val="10"/>
            <color rgb="FF000000"/>
            <rFont val="Tahoma"/>
            <family val="2"/>
          </rPr>
          <t xml:space="preserve">
</t>
        </r>
        <r>
          <rPr>
            <sz val="10"/>
            <color rgb="FF000000"/>
            <rFont val="Calibri"/>
            <family val="2"/>
            <scheme val="minor"/>
          </rPr>
          <t>'Arisings' converted to 'generation' using DC correction</t>
        </r>
        <r>
          <rPr>
            <sz val="10"/>
            <color rgb="FF000000"/>
            <rFont val="Calibri"/>
            <family val="2"/>
            <scheme val="minor"/>
          </rPr>
          <t xml:space="preserve">
</t>
        </r>
      </text>
    </comment>
    <comment ref="EB43" authorId="1" shapeId="0" xr:uid="{35737CBF-27B8-A349-9449-60AE76D98C46}">
      <text>
        <r>
          <rPr>
            <b/>
            <sz val="10"/>
            <color rgb="FF000000"/>
            <rFont val="Tahoma"/>
            <family val="2"/>
          </rPr>
          <t>Microsoft Office User:</t>
        </r>
        <r>
          <rPr>
            <sz val="10"/>
            <color rgb="FF000000"/>
            <rFont val="Tahoma"/>
            <family val="2"/>
          </rPr>
          <t xml:space="preserve">
</t>
        </r>
        <r>
          <rPr>
            <sz val="10"/>
            <color rgb="FF000000"/>
            <rFont val="+mn-lt"/>
            <charset val="1"/>
          </rPr>
          <t>'Arisings' converted to 'generation' using DC correction and 2016-17 storage figure of 3781 t</t>
        </r>
        <r>
          <rPr>
            <sz val="10"/>
            <color rgb="FF000000"/>
            <rFont val="+mn-lt"/>
            <charset val="1"/>
          </rPr>
          <t xml:space="preserve">
</t>
        </r>
      </text>
    </comment>
    <comment ref="EC43" authorId="1" shapeId="0" xr:uid="{53B6D7DD-F571-FF4D-A932-B0D0AE2C72FE}">
      <text>
        <r>
          <rPr>
            <b/>
            <sz val="10"/>
            <color rgb="FF000000"/>
            <rFont val="Tahoma"/>
            <family val="2"/>
          </rPr>
          <t>Microsoft Office User:</t>
        </r>
        <r>
          <rPr>
            <sz val="10"/>
            <color rgb="FF000000"/>
            <rFont val="Tahoma"/>
            <family val="2"/>
          </rPr>
          <t xml:space="preserve">
</t>
        </r>
        <r>
          <rPr>
            <sz val="10"/>
            <color rgb="FF000000"/>
            <rFont val="Calibri"/>
            <family val="2"/>
          </rPr>
          <t>'Arisings' converted to 'generation' using DC correction</t>
        </r>
      </text>
    </comment>
    <comment ref="ED43" authorId="1" shapeId="0" xr:uid="{961391EC-6BB4-A849-94CB-2A92D75C15F5}">
      <text>
        <r>
          <rPr>
            <b/>
            <sz val="10"/>
            <color rgb="FF000000"/>
            <rFont val="Tahoma"/>
            <family val="2"/>
          </rPr>
          <t>Microsoft Office User:</t>
        </r>
        <r>
          <rPr>
            <sz val="10"/>
            <color rgb="FF000000"/>
            <rFont val="Tahoma"/>
            <family val="2"/>
          </rPr>
          <t xml:space="preserve">
</t>
        </r>
        <r>
          <rPr>
            <sz val="10"/>
            <color rgb="FF000000"/>
            <rFont val="Calibri"/>
            <family val="2"/>
            <scheme val="minor"/>
          </rPr>
          <t>'Arisings' converted to 'generation' using DC correction</t>
        </r>
      </text>
    </comment>
    <comment ref="EE43" authorId="0" shapeId="0" xr:uid="{47B0B6AC-D01D-4546-863B-D2F2216E7327}">
      <text>
        <r>
          <rPr>
            <b/>
            <sz val="9"/>
            <color rgb="FF000000"/>
            <rFont val="Tahoma"/>
            <family val="2"/>
          </rPr>
          <t>Joe Pickin:</t>
        </r>
        <r>
          <rPr>
            <sz val="9"/>
            <color rgb="FF000000"/>
            <rFont val="Tahoma"/>
            <family val="2"/>
          </rPr>
          <t xml:space="preserve">
</t>
        </r>
        <r>
          <rPr>
            <sz val="9"/>
            <color rgb="FF000000"/>
            <rFont val="Tahoma"/>
            <family val="2"/>
          </rPr>
          <t>'Arisings' converted to 'generation' using DC correction</t>
        </r>
      </text>
    </comment>
    <comment ref="AQ49" authorId="1" shapeId="0" xr:uid="{E45B17D2-A64A-F943-A527-B4801F9AAE2B}">
      <text>
        <r>
          <rPr>
            <b/>
            <sz val="10"/>
            <color rgb="FF000000"/>
            <rFont val="Tahoma"/>
            <family val="2"/>
          </rPr>
          <t>Microsoft Office User:</t>
        </r>
        <r>
          <rPr>
            <sz val="10"/>
            <color rgb="FF000000"/>
            <rFont val="Tahoma"/>
            <family val="2"/>
          </rPr>
          <t xml:space="preserve">
</t>
        </r>
        <r>
          <rPr>
            <sz val="10"/>
            <color rgb="FF000000"/>
            <rFont val="Tahoma"/>
            <family val="2"/>
          </rPr>
          <t>PSO adjustment done</t>
        </r>
      </text>
    </comment>
    <comment ref="AO50" authorId="1" shapeId="0" xr:uid="{45D435E0-04B7-954F-9580-07DE4FD0202D}">
      <text>
        <r>
          <rPr>
            <b/>
            <sz val="10"/>
            <color rgb="FF000000"/>
            <rFont val="Tahoma"/>
            <family val="2"/>
          </rPr>
          <t>Microsoft Office User:</t>
        </r>
        <r>
          <rPr>
            <sz val="10"/>
            <color rgb="FF000000"/>
            <rFont val="Tahoma"/>
            <family val="2"/>
          </rPr>
          <t xml:space="preserve">
</t>
        </r>
        <r>
          <rPr>
            <sz val="10"/>
            <color rgb="FF000000"/>
            <rFont val="Calibri"/>
            <family val="2"/>
          </rPr>
          <t>'Arisings' converted to 'generation' using DC correction</t>
        </r>
      </text>
    </comment>
    <comment ref="AP50" authorId="1" shapeId="0" xr:uid="{A810E136-33AB-224F-B305-491B9FAE3499}">
      <text>
        <r>
          <rPr>
            <b/>
            <sz val="10"/>
            <color rgb="FF000000"/>
            <rFont val="Tahoma"/>
            <family val="2"/>
          </rPr>
          <t>Microsoft Office User:</t>
        </r>
        <r>
          <rPr>
            <sz val="10"/>
            <color rgb="FF000000"/>
            <rFont val="Tahoma"/>
            <family val="2"/>
          </rPr>
          <t xml:space="preserve">
</t>
        </r>
        <r>
          <rPr>
            <sz val="10"/>
            <color rgb="FF000000"/>
            <rFont val="Tahoma"/>
            <family val="2"/>
          </rPr>
          <t>'Arisings' converted to 'generation' using DC correction and 2016-17 storage of 3,910 tonnes</t>
        </r>
      </text>
    </comment>
    <comment ref="AQ50" authorId="1" shapeId="0" xr:uid="{072730AD-EAE9-5047-BE70-F3C2A4AFB59D}">
      <text>
        <r>
          <rPr>
            <b/>
            <sz val="10"/>
            <color rgb="FF000000"/>
            <rFont val="Tahoma"/>
            <family val="2"/>
          </rPr>
          <t>Microsoft Office User:</t>
        </r>
        <r>
          <rPr>
            <sz val="10"/>
            <color rgb="FF000000"/>
            <rFont val="Tahoma"/>
            <family val="2"/>
          </rPr>
          <t xml:space="preserve">
</t>
        </r>
        <r>
          <rPr>
            <sz val="10"/>
            <color rgb="FF000000"/>
            <rFont val="Calibri"/>
            <family val="2"/>
          </rPr>
          <t>'Arisings' converted to 'generation' using DC correction</t>
        </r>
      </text>
    </comment>
    <comment ref="AR50" authorId="1" shapeId="0" xr:uid="{B51E37F2-63EB-4040-B12F-9FDAE127CFC2}">
      <text>
        <r>
          <rPr>
            <b/>
            <sz val="10"/>
            <color rgb="FF000000"/>
            <rFont val="Tahoma"/>
            <family val="2"/>
          </rPr>
          <t>Microsoft Office User:</t>
        </r>
        <r>
          <rPr>
            <sz val="10"/>
            <color rgb="FF000000"/>
            <rFont val="Tahoma"/>
            <family val="2"/>
          </rPr>
          <t xml:space="preserve">
</t>
        </r>
        <r>
          <rPr>
            <sz val="10"/>
            <color rgb="FF000000"/>
            <rFont val="Calibri"/>
            <family val="2"/>
          </rPr>
          <t xml:space="preserve">'Arisings' converted to 'generation' using DC correction
</t>
        </r>
      </text>
    </comment>
    <comment ref="AS50" authorId="0" shapeId="0" xr:uid="{7F8899A8-BCAA-FA4D-A7CE-90911EFB4D6A}">
      <text>
        <r>
          <rPr>
            <b/>
            <sz val="9"/>
            <color rgb="FF000000"/>
            <rFont val="Tahoma"/>
            <family val="2"/>
          </rPr>
          <t>Joe Pickin:</t>
        </r>
        <r>
          <rPr>
            <sz val="9"/>
            <color rgb="FF000000"/>
            <rFont val="Tahoma"/>
            <family val="2"/>
          </rPr>
          <t xml:space="preserve">
</t>
        </r>
        <r>
          <rPr>
            <sz val="9"/>
            <color rgb="FF000000"/>
            <rFont val="Tahoma"/>
            <family val="2"/>
          </rPr>
          <t>'Arisings' converted to 'generation' using DC correction</t>
        </r>
      </text>
    </comment>
    <comment ref="CI50" authorId="1" shapeId="0" xr:uid="{CA30A783-3A01-CC40-9AD1-3D0AE931FF2A}">
      <text>
        <r>
          <rPr>
            <b/>
            <sz val="10"/>
            <color rgb="FF000000"/>
            <rFont val="Tahoma"/>
            <family val="2"/>
          </rPr>
          <t>Microsoft Office User:</t>
        </r>
        <r>
          <rPr>
            <sz val="10"/>
            <color rgb="FF000000"/>
            <rFont val="Tahoma"/>
            <family val="2"/>
          </rPr>
          <t xml:space="preserve">
</t>
        </r>
        <r>
          <rPr>
            <sz val="10"/>
            <color rgb="FF000000"/>
            <rFont val="Calibri"/>
            <family val="2"/>
          </rPr>
          <t xml:space="preserve">'Arisings' converted to 'generation' using DC correction 
</t>
        </r>
      </text>
    </comment>
    <comment ref="CJ50" authorId="1" shapeId="0" xr:uid="{6B3D611B-8E00-FB4B-836C-5A6344EF3299}">
      <text>
        <r>
          <rPr>
            <b/>
            <sz val="10"/>
            <color rgb="FF000000"/>
            <rFont val="Tahoma"/>
            <family val="2"/>
          </rPr>
          <t>Microsoft Office Us</t>
        </r>
        <r>
          <rPr>
            <sz val="10"/>
            <color rgb="FF000000"/>
            <rFont val="Calibri"/>
            <family val="2"/>
          </rPr>
          <t xml:space="preserve">'Arisings' converted to 'generation' using DC correction 
</t>
        </r>
        <r>
          <rPr>
            <b/>
            <sz val="10"/>
            <color rgb="FF000000"/>
            <rFont val="Tahoma"/>
            <family val="2"/>
          </rPr>
          <t>er:</t>
        </r>
        <r>
          <rPr>
            <sz val="10"/>
            <color rgb="FF000000"/>
            <rFont val="Tahoma"/>
            <family val="2"/>
          </rPr>
          <t xml:space="preserve">
</t>
        </r>
      </text>
    </comment>
    <comment ref="CK50" authorId="1" shapeId="0" xr:uid="{75DC51CF-CB87-3347-BC8A-D6D578BBBB2F}">
      <text>
        <r>
          <rPr>
            <b/>
            <sz val="10"/>
            <color rgb="FF000000"/>
            <rFont val="Tahoma"/>
            <family val="2"/>
          </rPr>
          <t>Microsoft Office User:</t>
        </r>
        <r>
          <rPr>
            <sz val="10"/>
            <color rgb="FF000000"/>
            <rFont val="Tahoma"/>
            <family val="2"/>
          </rPr>
          <t xml:space="preserve">
</t>
        </r>
        <r>
          <rPr>
            <sz val="10"/>
            <color rgb="FF000000"/>
            <rFont val="Calibri"/>
            <family val="2"/>
            <scheme val="minor"/>
          </rPr>
          <t xml:space="preserve">'Arisings' converted to 'generation' using DC correction </t>
        </r>
        <r>
          <rPr>
            <sz val="10"/>
            <color rgb="FF000000"/>
            <rFont val="Calibri"/>
            <family val="2"/>
            <scheme val="minor"/>
          </rPr>
          <t xml:space="preserve">
</t>
        </r>
      </text>
    </comment>
    <comment ref="CL50" authorId="1" shapeId="0" xr:uid="{6BA1A9A0-0AF5-A44D-8E8F-177922867630}">
      <text>
        <r>
          <rPr>
            <b/>
            <sz val="10"/>
            <color rgb="FF000000"/>
            <rFont val="Tahoma"/>
            <family val="2"/>
          </rPr>
          <t>Microsoft Office User:</t>
        </r>
        <r>
          <rPr>
            <sz val="10"/>
            <color rgb="FF000000"/>
            <rFont val="Tahoma"/>
            <family val="2"/>
          </rPr>
          <t xml:space="preserve">
</t>
        </r>
        <r>
          <rPr>
            <sz val="10"/>
            <color rgb="FF000000"/>
            <rFont val="Calibri"/>
            <family val="2"/>
            <scheme val="minor"/>
          </rPr>
          <t xml:space="preserve">'Arisings' converted to 'generation' using DC correction </t>
        </r>
        <r>
          <rPr>
            <sz val="10"/>
            <color rgb="FF000000"/>
            <rFont val="Calibri"/>
            <family val="2"/>
            <scheme val="minor"/>
          </rPr>
          <t xml:space="preserve">
</t>
        </r>
      </text>
    </comment>
    <comment ref="DL50" authorId="1" shapeId="0" xr:uid="{FA0C4248-3B24-684D-9E13-31581B619EAA}">
      <text>
        <r>
          <rPr>
            <b/>
            <sz val="10"/>
            <color rgb="FF000000"/>
            <rFont val="Tahoma"/>
            <family val="2"/>
          </rPr>
          <t>Microsoft Office User:</t>
        </r>
        <r>
          <rPr>
            <sz val="10"/>
            <color rgb="FF000000"/>
            <rFont val="Tahoma"/>
            <family val="2"/>
          </rPr>
          <t xml:space="preserve">
</t>
        </r>
        <r>
          <rPr>
            <sz val="10"/>
            <color rgb="FF000000"/>
            <rFont val="Calibri"/>
            <family val="2"/>
          </rPr>
          <t xml:space="preserve">'Arisings' converted to 'generation' using DC correction 
</t>
        </r>
      </text>
    </comment>
    <comment ref="DM50" authorId="1" shapeId="0" xr:uid="{B1BA3478-A6BC-7049-A6A0-3815A86FA7A0}">
      <text>
        <r>
          <rPr>
            <b/>
            <sz val="10"/>
            <color rgb="FF000000"/>
            <rFont val="Tahoma"/>
            <family val="2"/>
          </rPr>
          <t>Microsoft Office User:</t>
        </r>
        <r>
          <rPr>
            <sz val="10"/>
            <color rgb="FF000000"/>
            <rFont val="Tahoma"/>
            <family val="2"/>
          </rPr>
          <t xml:space="preserve">
</t>
        </r>
        <r>
          <rPr>
            <sz val="10"/>
            <color rgb="FF000000"/>
            <rFont val="Calibri"/>
            <family val="2"/>
            <scheme val="minor"/>
          </rPr>
          <t>'Arisings' converted to 'generation' using DC correction and 2016-17 storage of 24,130 tonnes</t>
        </r>
        <r>
          <rPr>
            <sz val="10"/>
            <color rgb="FF000000"/>
            <rFont val="Calibri"/>
            <family val="2"/>
            <scheme val="minor"/>
          </rPr>
          <t xml:space="preserve">
</t>
        </r>
      </text>
    </comment>
    <comment ref="DN50" authorId="1" shapeId="0" xr:uid="{3F271C16-CBDF-9D41-92FC-8E54D9ECA88E}">
      <text>
        <r>
          <rPr>
            <b/>
            <sz val="10"/>
            <color rgb="FF000000"/>
            <rFont val="Tahoma"/>
            <family val="2"/>
          </rPr>
          <t>Microsoft Office User:</t>
        </r>
        <r>
          <rPr>
            <sz val="10"/>
            <color rgb="FF000000"/>
            <rFont val="Tahoma"/>
            <family val="2"/>
          </rPr>
          <t xml:space="preserve">
</t>
        </r>
        <r>
          <rPr>
            <sz val="10"/>
            <color rgb="FF000000"/>
            <rFont val="Calibri"/>
            <family val="2"/>
          </rPr>
          <t xml:space="preserve">'Arisings' converted to 'generation' using DC correction </t>
        </r>
      </text>
    </comment>
    <comment ref="DO50" authorId="1" shapeId="0" xr:uid="{2182A885-589B-1647-A696-5A7C552BED2F}">
      <text>
        <r>
          <rPr>
            <b/>
            <sz val="10"/>
            <color rgb="FF000000"/>
            <rFont val="Tahoma"/>
            <family val="2"/>
          </rPr>
          <t>Microsoft Office User:</t>
        </r>
        <r>
          <rPr>
            <sz val="10"/>
            <color rgb="FF000000"/>
            <rFont val="Tahoma"/>
            <family val="2"/>
          </rPr>
          <t xml:space="preserve">
</t>
        </r>
        <r>
          <rPr>
            <sz val="10"/>
            <color rgb="FF000000"/>
            <rFont val="Calibri"/>
            <family val="2"/>
          </rPr>
          <t xml:space="preserve">'Arisings' converted to 'generation' using DC correction </t>
        </r>
      </text>
    </comment>
    <comment ref="DP50" authorId="1" shapeId="0" xr:uid="{2ABF07A5-8C18-3F4D-872C-128A7E7EC81A}">
      <text>
        <r>
          <rPr>
            <b/>
            <sz val="10"/>
            <color rgb="FF000000"/>
            <rFont val="Tahoma"/>
            <family val="2"/>
          </rPr>
          <t>Microsoft Office User:</t>
        </r>
        <r>
          <rPr>
            <sz val="10"/>
            <color rgb="FF000000"/>
            <rFont val="Tahoma"/>
            <family val="2"/>
          </rPr>
          <t xml:space="preserve">
</t>
        </r>
        <r>
          <rPr>
            <sz val="10"/>
            <color rgb="FF000000"/>
            <rFont val="Calibri"/>
            <family val="2"/>
          </rPr>
          <t xml:space="preserve">'Arisings' converted to 'generation' using DC correction </t>
        </r>
      </text>
    </comment>
    <comment ref="EA50" authorId="1" shapeId="0" xr:uid="{2B3CA6F0-3F30-C94D-AC8F-CADFEBFF10A0}">
      <text>
        <r>
          <rPr>
            <b/>
            <sz val="10"/>
            <color rgb="FF000000"/>
            <rFont val="Tahoma"/>
            <family val="2"/>
          </rPr>
          <t>Microsoft Office User:</t>
        </r>
        <r>
          <rPr>
            <sz val="10"/>
            <color rgb="FF000000"/>
            <rFont val="Tahoma"/>
            <family val="2"/>
          </rPr>
          <t xml:space="preserve">
</t>
        </r>
        <r>
          <rPr>
            <sz val="10"/>
            <color rgb="FF000000"/>
            <rFont val="Calibri"/>
            <family val="2"/>
          </rPr>
          <t xml:space="preserve">'Arisings' converted to 'generation' using DC correction
</t>
        </r>
      </text>
    </comment>
    <comment ref="EB50" authorId="1" shapeId="0" xr:uid="{393A433F-8F4C-F548-A51A-DED6BFA72D19}">
      <text>
        <r>
          <rPr>
            <b/>
            <sz val="10"/>
            <color rgb="FF000000"/>
            <rFont val="Tahoma"/>
            <family val="2"/>
          </rPr>
          <t>Microsoft Office User:</t>
        </r>
        <r>
          <rPr>
            <sz val="10"/>
            <color rgb="FF000000"/>
            <rFont val="Tahoma"/>
            <family val="2"/>
          </rPr>
          <t xml:space="preserve">
</t>
        </r>
        <r>
          <rPr>
            <sz val="10"/>
            <color rgb="FF000000"/>
            <rFont val="Calibri"/>
            <family val="2"/>
            <scheme val="minor"/>
          </rPr>
          <t>'Arisings' converted to 'generation' using DC correction and 2016-17 storage figure of 16,803 t</t>
        </r>
        <r>
          <rPr>
            <sz val="10"/>
            <color rgb="FF000000"/>
            <rFont val="Calibri"/>
            <family val="2"/>
            <scheme val="minor"/>
          </rPr>
          <t xml:space="preserve">
</t>
        </r>
      </text>
    </comment>
    <comment ref="EC50" authorId="1" shapeId="0" xr:uid="{63EFBF49-5236-0C4D-96BA-03E9D598D12A}">
      <text>
        <r>
          <rPr>
            <b/>
            <sz val="10"/>
            <color rgb="FF000000"/>
            <rFont val="Tahoma"/>
            <family val="2"/>
          </rPr>
          <t>Microsoft Office User:</t>
        </r>
        <r>
          <rPr>
            <sz val="10"/>
            <color rgb="FF000000"/>
            <rFont val="Tahoma"/>
            <family val="2"/>
          </rPr>
          <t xml:space="preserve">
</t>
        </r>
        <r>
          <rPr>
            <sz val="10"/>
            <color rgb="FF000000"/>
            <rFont val="Calibri"/>
            <family val="2"/>
          </rPr>
          <t xml:space="preserve">'Arisings' converted to 'generation' using DC correction
</t>
        </r>
      </text>
    </comment>
    <comment ref="ED50" authorId="1" shapeId="0" xr:uid="{A58F128D-2838-9541-ADB6-B438057BEDAC}">
      <text>
        <r>
          <rPr>
            <b/>
            <sz val="10"/>
            <color rgb="FF000000"/>
            <rFont val="Tahoma"/>
            <family val="2"/>
          </rPr>
          <t>Microsoft Office User:</t>
        </r>
        <r>
          <rPr>
            <sz val="10"/>
            <color rgb="FF000000"/>
            <rFont val="Tahoma"/>
            <family val="2"/>
          </rPr>
          <t xml:space="preserve">
</t>
        </r>
        <r>
          <rPr>
            <sz val="10"/>
            <color rgb="FF000000"/>
            <rFont val="Calibri"/>
            <family val="2"/>
          </rPr>
          <t xml:space="preserve">'Arisings' converted to 'generation' using DC correction
</t>
        </r>
      </text>
    </comment>
    <comment ref="EE50" authorId="0" shapeId="0" xr:uid="{14F2022C-0551-734D-B962-57ABF190DF1B}">
      <text>
        <r>
          <rPr>
            <b/>
            <sz val="9"/>
            <color rgb="FF000000"/>
            <rFont val="Tahoma"/>
            <family val="2"/>
          </rPr>
          <t>Joe Pickin:</t>
        </r>
        <r>
          <rPr>
            <sz val="9"/>
            <color rgb="FF000000"/>
            <rFont val="Tahoma"/>
            <family val="2"/>
          </rPr>
          <t xml:space="preserve">
</t>
        </r>
        <r>
          <rPr>
            <sz val="9"/>
            <color rgb="FF000000"/>
            <rFont val="Tahoma"/>
            <family val="2"/>
          </rPr>
          <t>'Arisings' converted to 'generation' using DC correction</t>
        </r>
      </text>
    </comment>
    <comment ref="AR53" authorId="1" shapeId="0" xr:uid="{9E85B5D0-A8EB-C946-86E2-C25F18D111B5}">
      <text>
        <r>
          <rPr>
            <b/>
            <sz val="10"/>
            <color rgb="FF000000"/>
            <rFont val="Tahoma"/>
            <family val="2"/>
          </rPr>
          <t>Microsoft Office User:</t>
        </r>
        <r>
          <rPr>
            <sz val="10"/>
            <color rgb="FF000000"/>
            <rFont val="Tahoma"/>
            <family val="2"/>
          </rPr>
          <t xml:space="preserve">
</t>
        </r>
        <r>
          <rPr>
            <sz val="10"/>
            <color rgb="FF000000"/>
            <rFont val="Tahoma"/>
            <family val="2"/>
          </rPr>
          <t xml:space="preserve">No double count adjustment applied because NSW K110 arising is already a consultant estimate
</t>
        </r>
      </text>
    </comment>
    <comment ref="AS53" authorId="1" shapeId="0" xr:uid="{1243B541-6A1F-1A45-BB91-A721B8E57137}">
      <text>
        <r>
          <rPr>
            <b/>
            <sz val="10"/>
            <color rgb="FF000000"/>
            <rFont val="Tahoma"/>
            <family val="2"/>
          </rPr>
          <t>Microsoft Office User:</t>
        </r>
        <r>
          <rPr>
            <sz val="10"/>
            <color rgb="FF000000"/>
            <rFont val="Tahoma"/>
            <family val="2"/>
          </rPr>
          <t xml:space="preserve">
</t>
        </r>
        <r>
          <rPr>
            <sz val="10"/>
            <color rgb="FF000000"/>
            <rFont val="Tahoma"/>
            <family val="2"/>
          </rPr>
          <t>No double count adjustment applied because NSW K110 arising is already a consultant estimate</t>
        </r>
      </text>
    </comment>
    <comment ref="CI53" authorId="1" shapeId="0" xr:uid="{9CC75D60-BF06-4646-8EF0-9B5B7C6663F9}">
      <text>
        <r>
          <rPr>
            <b/>
            <sz val="10"/>
            <color rgb="FF000000"/>
            <rFont val="Tahoma"/>
            <family val="2"/>
          </rPr>
          <t>Microsoft Office User:</t>
        </r>
        <r>
          <rPr>
            <sz val="10"/>
            <color rgb="FF000000"/>
            <rFont val="Tahoma"/>
            <family val="2"/>
          </rPr>
          <t xml:space="preserve">
</t>
        </r>
        <r>
          <rPr>
            <sz val="10"/>
            <color rgb="FF000000"/>
            <rFont val="Calibri"/>
            <family val="2"/>
            <scheme val="minor"/>
          </rPr>
          <t xml:space="preserve">'Arisings' converted to 'generation' using DC correction </t>
        </r>
        <r>
          <rPr>
            <sz val="10"/>
            <color rgb="FF000000"/>
            <rFont val="Calibri"/>
            <family val="2"/>
            <scheme val="minor"/>
          </rPr>
          <t xml:space="preserve">
</t>
        </r>
      </text>
    </comment>
    <comment ref="CJ53" authorId="1" shapeId="0" xr:uid="{1AD2DC49-9BA1-C04E-AE83-3EABEA59313F}">
      <text>
        <r>
          <rPr>
            <b/>
            <sz val="10"/>
            <color rgb="FF000000"/>
            <rFont val="Tahoma"/>
            <family val="2"/>
          </rPr>
          <t>Microsoft Office User:</t>
        </r>
        <r>
          <rPr>
            <sz val="10"/>
            <color rgb="FF000000"/>
            <rFont val="Tahoma"/>
            <family val="2"/>
          </rPr>
          <t xml:space="preserve">
</t>
        </r>
        <r>
          <rPr>
            <sz val="10"/>
            <color rgb="FF000000"/>
            <rFont val="Calibri"/>
            <family val="2"/>
          </rPr>
          <t xml:space="preserve">'Arisings' converted to 'generation' using DC correction 
</t>
        </r>
      </text>
    </comment>
    <comment ref="CK53" authorId="1" shapeId="0" xr:uid="{DEBD0293-E54D-D340-BE92-2B840549F9B1}">
      <text>
        <r>
          <rPr>
            <b/>
            <sz val="10"/>
            <color rgb="FF000000"/>
            <rFont val="Tahoma"/>
            <family val="2"/>
          </rPr>
          <t>Microsoft Office User:</t>
        </r>
        <r>
          <rPr>
            <sz val="10"/>
            <color rgb="FF000000"/>
            <rFont val="Tahoma"/>
            <family val="2"/>
          </rPr>
          <t xml:space="preserve">
</t>
        </r>
        <r>
          <rPr>
            <sz val="10"/>
            <color rgb="FF000000"/>
            <rFont val="Calibri"/>
            <family val="2"/>
          </rPr>
          <t xml:space="preserve">'Arisings' converted to 'generation' using DC correction 
</t>
        </r>
      </text>
    </comment>
    <comment ref="CL53" authorId="1" shapeId="0" xr:uid="{53740D5E-5B49-FB41-A023-42650CDB44B0}">
      <text>
        <r>
          <rPr>
            <b/>
            <sz val="10"/>
            <color rgb="FF000000"/>
            <rFont val="Tahoma"/>
            <family val="2"/>
          </rPr>
          <t>Microsoft Office User:</t>
        </r>
        <r>
          <rPr>
            <sz val="10"/>
            <color rgb="FF000000"/>
            <rFont val="Tahoma"/>
            <family val="2"/>
          </rPr>
          <t xml:space="preserve">
</t>
        </r>
        <r>
          <rPr>
            <sz val="10"/>
            <color rgb="FF000000"/>
            <rFont val="Calibri"/>
            <family val="2"/>
          </rPr>
          <t xml:space="preserve">'Arisings' converted to 'generation' using DC correction 
</t>
        </r>
      </text>
    </comment>
    <comment ref="DL53" authorId="1" shapeId="0" xr:uid="{A2CD2577-AF5A-B144-80DD-AD05271148E8}">
      <text>
        <r>
          <rPr>
            <b/>
            <sz val="10"/>
            <color rgb="FF000000"/>
            <rFont val="Tahoma"/>
            <family val="2"/>
          </rPr>
          <t>Microsoft Office User:</t>
        </r>
        <r>
          <rPr>
            <sz val="10"/>
            <color rgb="FF000000"/>
            <rFont val="Tahoma"/>
            <family val="2"/>
          </rPr>
          <t xml:space="preserve">
</t>
        </r>
        <r>
          <rPr>
            <sz val="10"/>
            <color rgb="FF000000"/>
            <rFont val="Calibri"/>
            <family val="2"/>
          </rPr>
          <t xml:space="preserve">'Arisings' converted to 'generation' using DC correction 
</t>
        </r>
      </text>
    </comment>
    <comment ref="DM53" authorId="1" shapeId="0" xr:uid="{0C0628EE-E9C6-074D-A1AB-FB351FB332C5}">
      <text>
        <r>
          <rPr>
            <b/>
            <sz val="10"/>
            <color rgb="FF000000"/>
            <rFont val="Tahoma"/>
            <family val="2"/>
          </rPr>
          <t>Microsoft Office User:</t>
        </r>
        <r>
          <rPr>
            <sz val="10"/>
            <color rgb="FF000000"/>
            <rFont val="Tahoma"/>
            <family val="2"/>
          </rPr>
          <t xml:space="preserve">
</t>
        </r>
        <r>
          <rPr>
            <sz val="10"/>
            <color rgb="FF000000"/>
            <rFont val="Calibri"/>
            <family val="2"/>
            <scheme val="minor"/>
          </rPr>
          <t>'Arisings' converted to 'generation' using DC correction and 2016-17 storage of 581 tonnes</t>
        </r>
        <r>
          <rPr>
            <sz val="10"/>
            <color rgb="FF000000"/>
            <rFont val="Calibri"/>
            <family val="2"/>
            <scheme val="minor"/>
          </rPr>
          <t xml:space="preserve">
</t>
        </r>
      </text>
    </comment>
    <comment ref="DN53" authorId="1" shapeId="0" xr:uid="{5842DB15-948D-4144-816F-DB4BDEACC43E}">
      <text>
        <r>
          <rPr>
            <b/>
            <sz val="10"/>
            <color rgb="FF000000"/>
            <rFont val="Tahoma"/>
            <family val="2"/>
          </rPr>
          <t>Microsoft Office User:</t>
        </r>
        <r>
          <rPr>
            <sz val="10"/>
            <color rgb="FF000000"/>
            <rFont val="Tahoma"/>
            <family val="2"/>
          </rPr>
          <t xml:space="preserve">
</t>
        </r>
        <r>
          <rPr>
            <sz val="10"/>
            <color rgb="FF000000"/>
            <rFont val="Calibri"/>
            <family val="2"/>
          </rPr>
          <t xml:space="preserve">'Arisings' converted to 'generation' using DC correction
</t>
        </r>
      </text>
    </comment>
    <comment ref="DO53" authorId="1" shapeId="0" xr:uid="{97ED188F-03EC-904F-A4F0-71C0BF168483}">
      <text>
        <r>
          <rPr>
            <b/>
            <sz val="10"/>
            <color rgb="FF000000"/>
            <rFont val="Tahoma"/>
            <family val="2"/>
          </rPr>
          <t>Microsoft Office User:</t>
        </r>
        <r>
          <rPr>
            <sz val="10"/>
            <color rgb="FF000000"/>
            <rFont val="Tahoma"/>
            <family val="2"/>
          </rPr>
          <t xml:space="preserve">
</t>
        </r>
        <r>
          <rPr>
            <sz val="10"/>
            <color rgb="FF000000"/>
            <rFont val="Calibri"/>
            <family val="2"/>
            <scheme val="minor"/>
          </rPr>
          <t>'Arisings' converted to 'generation</t>
        </r>
        <r>
          <rPr>
            <sz val="10"/>
            <color rgb="FF000000"/>
            <rFont val="Calibri"/>
            <family val="2"/>
            <scheme val="minor"/>
          </rPr>
          <t>' using DC correction</t>
        </r>
        <r>
          <rPr>
            <sz val="10"/>
            <color rgb="FF000000"/>
            <rFont val="Calibri"/>
            <family val="2"/>
            <scheme val="minor"/>
          </rPr>
          <t xml:space="preserve">
</t>
        </r>
      </text>
    </comment>
    <comment ref="DP53" authorId="1" shapeId="0" xr:uid="{567F91BA-EA4D-8141-BC5D-8AB6769AF9FB}">
      <text>
        <r>
          <rPr>
            <b/>
            <sz val="10"/>
            <color rgb="FF000000"/>
            <rFont val="Tahoma"/>
            <family val="2"/>
          </rPr>
          <t>Microsoft Office User:</t>
        </r>
        <r>
          <rPr>
            <sz val="10"/>
            <color rgb="FF000000"/>
            <rFont val="Tahoma"/>
            <family val="2"/>
          </rPr>
          <t xml:space="preserve">
</t>
        </r>
        <r>
          <rPr>
            <sz val="10"/>
            <color rgb="FF000000"/>
            <rFont val="Calibri"/>
            <family val="2"/>
          </rPr>
          <t xml:space="preserve">'Arisings' converted to 'generation' using DC correction
</t>
        </r>
      </text>
    </comment>
    <comment ref="EA53" authorId="1" shapeId="0" xr:uid="{A374DDB1-0FC0-E94C-8905-5004A41E6742}">
      <text>
        <r>
          <rPr>
            <b/>
            <sz val="10"/>
            <color rgb="FF000000"/>
            <rFont val="Tahoma"/>
            <family val="2"/>
          </rPr>
          <t>Microsoft Office User:</t>
        </r>
        <r>
          <rPr>
            <sz val="10"/>
            <color rgb="FF000000"/>
            <rFont val="Tahoma"/>
            <family val="2"/>
          </rPr>
          <t xml:space="preserve">
</t>
        </r>
        <r>
          <rPr>
            <sz val="10"/>
            <color rgb="FF000000"/>
            <rFont val="Calibri"/>
            <family val="2"/>
          </rPr>
          <t xml:space="preserve">'Arisings' converted to 'generation' using DC correction
</t>
        </r>
      </text>
    </comment>
    <comment ref="EB53" authorId="1" shapeId="0" xr:uid="{23D7EF46-538E-D949-9E55-C7E1F9704DEA}">
      <text>
        <r>
          <rPr>
            <b/>
            <sz val="10"/>
            <color rgb="FF000000"/>
            <rFont val="Tahoma"/>
            <family val="2"/>
          </rPr>
          <t>Microsoft Office User:</t>
        </r>
        <r>
          <rPr>
            <sz val="10"/>
            <color rgb="FF000000"/>
            <rFont val="Tahoma"/>
            <family val="2"/>
          </rPr>
          <t xml:space="preserve">
</t>
        </r>
        <r>
          <rPr>
            <sz val="10"/>
            <color rgb="FF000000"/>
            <rFont val="Calibri"/>
            <family val="2"/>
            <scheme val="minor"/>
          </rPr>
          <t>'Arisings' converted to 'generation' using DC correction and 2016-17 storage figure of 23,261 t</t>
        </r>
        <r>
          <rPr>
            <sz val="10"/>
            <color rgb="FF000000"/>
            <rFont val="Calibri"/>
            <family val="2"/>
            <scheme val="minor"/>
          </rPr>
          <t xml:space="preserve">
</t>
        </r>
      </text>
    </comment>
    <comment ref="EC53" authorId="1" shapeId="0" xr:uid="{65D447CD-3255-3340-8B46-A25F7843593D}">
      <text>
        <r>
          <rPr>
            <b/>
            <sz val="10"/>
            <color rgb="FF000000"/>
            <rFont val="Tahoma"/>
            <family val="2"/>
          </rPr>
          <t>Microsoft Office User:</t>
        </r>
        <r>
          <rPr>
            <sz val="10"/>
            <color rgb="FF000000"/>
            <rFont val="Tahoma"/>
            <family val="2"/>
          </rPr>
          <t xml:space="preserve">
</t>
        </r>
        <r>
          <rPr>
            <sz val="10"/>
            <color rgb="FF000000"/>
            <rFont val="Calibri"/>
            <family val="2"/>
            <scheme val="minor"/>
          </rPr>
          <t>'Arisings' converted to 'generation' using DC correction</t>
        </r>
        <r>
          <rPr>
            <sz val="10"/>
            <color rgb="FF000000"/>
            <rFont val="Calibri"/>
            <family val="2"/>
            <scheme val="minor"/>
          </rPr>
          <t xml:space="preserve">
</t>
        </r>
      </text>
    </comment>
    <comment ref="ED53" authorId="1" shapeId="0" xr:uid="{159A7049-3C10-B649-89CE-295410C88B32}">
      <text>
        <r>
          <rPr>
            <b/>
            <sz val="10"/>
            <color rgb="FF000000"/>
            <rFont val="Tahoma"/>
            <family val="2"/>
          </rPr>
          <t>Microsoft Office User:</t>
        </r>
        <r>
          <rPr>
            <sz val="10"/>
            <color rgb="FF000000"/>
            <rFont val="Tahoma"/>
            <family val="2"/>
          </rPr>
          <t xml:space="preserve">
</t>
        </r>
        <r>
          <rPr>
            <sz val="10"/>
            <color rgb="FF000000"/>
            <rFont val="Calibri"/>
            <family val="2"/>
            <scheme val="minor"/>
          </rPr>
          <t>'Arisings' converted to 'generation' using DC correction</t>
        </r>
        <r>
          <rPr>
            <sz val="10"/>
            <color rgb="FF000000"/>
            <rFont val="Calibri"/>
            <family val="2"/>
            <scheme val="minor"/>
          </rPr>
          <t xml:space="preserve">
</t>
        </r>
      </text>
    </comment>
    <comment ref="EE53" authorId="0" shapeId="0" xr:uid="{09F24463-BD83-B44C-B8F9-1362F7F84732}">
      <text>
        <r>
          <rPr>
            <b/>
            <sz val="9"/>
            <color rgb="FF000000"/>
            <rFont val="Tahoma"/>
            <family val="2"/>
          </rPr>
          <t>Joe Pickin:</t>
        </r>
        <r>
          <rPr>
            <sz val="9"/>
            <color rgb="FF000000"/>
            <rFont val="Tahoma"/>
            <family val="2"/>
          </rPr>
          <t xml:space="preserve">
</t>
        </r>
        <r>
          <rPr>
            <sz val="9"/>
            <color rgb="FF000000"/>
            <rFont val="Tahoma"/>
            <family val="2"/>
          </rPr>
          <t xml:space="preserve">'Arisings' converted to 'generation' </t>
        </r>
        <r>
          <rPr>
            <sz val="10"/>
            <color rgb="FF000000"/>
            <rFont val="Calibri"/>
            <family val="2"/>
          </rPr>
          <t>using DC correction</t>
        </r>
        <r>
          <rPr>
            <sz val="9"/>
            <color rgb="FF000000"/>
            <rFont val="Calibri"/>
            <family val="2"/>
          </rPr>
          <t xml:space="preserve"> </t>
        </r>
      </text>
    </comment>
    <comment ref="AN68" authorId="0" shapeId="0" xr:uid="{948C243D-26A7-EB49-9BED-395889A292A4}">
      <text>
        <r>
          <rPr>
            <b/>
            <sz val="9"/>
            <color rgb="FF000000"/>
            <rFont val="Tahoma"/>
            <family val="2"/>
          </rPr>
          <t>Joe Pickin:</t>
        </r>
        <r>
          <rPr>
            <sz val="9"/>
            <color rgb="FF000000"/>
            <rFont val="Tahoma"/>
            <family val="2"/>
          </rPr>
          <t xml:space="preserve">
</t>
        </r>
        <r>
          <rPr>
            <sz val="9"/>
            <color rgb="FF000000"/>
            <rFont val="Tahoma"/>
            <family val="2"/>
          </rPr>
          <t xml:space="preserve">Email from Sarah Sutton (EPA NSW) to Geoff Latimer (Ascend Waste and Environment) dated 26-11-14 </t>
        </r>
      </text>
    </comment>
    <comment ref="AP68" authorId="0" shapeId="0" xr:uid="{A44EAB67-CC78-45AF-AF00-C787652C548C}">
      <text>
        <r>
          <rPr>
            <b/>
            <sz val="9"/>
            <color rgb="FF000000"/>
            <rFont val="Tahoma"/>
            <family val="2"/>
          </rPr>
          <t>Joe Pickin:</t>
        </r>
        <r>
          <rPr>
            <sz val="9"/>
            <color rgb="FF000000"/>
            <rFont val="Tahoma"/>
            <family val="2"/>
          </rPr>
          <t xml:space="preserve">
</t>
        </r>
        <r>
          <rPr>
            <sz val="9"/>
            <color rgb="FF000000"/>
            <rFont val="Tahoma"/>
            <family val="2"/>
          </rPr>
          <t>Data provided in email from Suyog Shrestha (NSW EPA) to Joe Pickin on 06/10/2016</t>
        </r>
      </text>
    </comment>
    <comment ref="Z73" authorId="0" shapeId="0" xr:uid="{8B7F093B-CF7F-4376-AE86-55BD0A2E5E4B}">
      <text>
        <r>
          <rPr>
            <b/>
            <sz val="9"/>
            <color rgb="FF000000"/>
            <rFont val="Tahoma"/>
            <family val="2"/>
          </rPr>
          <t>Joe Pickin:</t>
        </r>
        <r>
          <rPr>
            <sz val="9"/>
            <color rgb="FF000000"/>
            <rFont val="Tahoma"/>
            <family val="2"/>
          </rPr>
          <t xml:space="preserve">
</t>
        </r>
        <r>
          <rPr>
            <sz val="9"/>
            <color rgb="FF000000"/>
            <rFont val="Tahoma"/>
            <family val="2"/>
          </rPr>
          <t>Biosolids subtracted. Incinerated on-site.</t>
        </r>
      </text>
    </comment>
    <comment ref="AA73" authorId="0" shapeId="0" xr:uid="{233E7C75-EA48-47FB-8E5C-F912B252F030}">
      <text>
        <r>
          <rPr>
            <b/>
            <sz val="9"/>
            <color rgb="FF000000"/>
            <rFont val="Tahoma"/>
            <family val="2"/>
          </rPr>
          <t>Joe Pickin:</t>
        </r>
        <r>
          <rPr>
            <sz val="9"/>
            <color rgb="FF000000"/>
            <rFont val="Tahoma"/>
            <family val="2"/>
          </rPr>
          <t xml:space="preserve">
</t>
        </r>
        <r>
          <rPr>
            <sz val="9"/>
            <color rgb="FF000000"/>
            <rFont val="Tahoma"/>
            <family val="2"/>
          </rPr>
          <t>Biosolids subtracted. Incinerated on-site.</t>
        </r>
      </text>
    </comment>
    <comment ref="Z74" authorId="0" shapeId="0" xr:uid="{8D71B457-8558-4978-9BF6-1DAC65959AA7}">
      <text>
        <r>
          <rPr>
            <b/>
            <sz val="9"/>
            <color indexed="81"/>
            <rFont val="Tahoma"/>
            <family val="2"/>
          </rPr>
          <t>Joe Pickin:</t>
        </r>
        <r>
          <rPr>
            <sz val="9"/>
            <color indexed="81"/>
            <rFont val="Tahoma"/>
            <family val="2"/>
          </rPr>
          <t xml:space="preserve">
Updated based on HWiA 2017</t>
        </r>
      </text>
    </comment>
    <comment ref="AK74" authorId="0" shapeId="0" xr:uid="{26F52513-25B2-452F-898E-6FC0898C7FC2}">
      <text>
        <r>
          <rPr>
            <b/>
            <sz val="9"/>
            <color indexed="81"/>
            <rFont val="Tahoma"/>
            <family val="2"/>
          </rPr>
          <t>Joe Pickin:</t>
        </r>
        <r>
          <rPr>
            <sz val="9"/>
            <color indexed="81"/>
            <rFont val="Tahoma"/>
            <family val="2"/>
          </rPr>
          <t xml:space="preserve">
Basel reported figure was 230,443t</t>
        </r>
      </text>
    </comment>
    <comment ref="CI76" authorId="1" shapeId="0" xr:uid="{58433315-AF59-CD45-B031-A78B07A05824}">
      <text>
        <r>
          <rPr>
            <b/>
            <sz val="10"/>
            <color rgb="FF000000"/>
            <rFont val="Tahoma"/>
            <family val="2"/>
          </rPr>
          <t>Microsoft Office User:</t>
        </r>
        <r>
          <rPr>
            <sz val="10"/>
            <color rgb="FF000000"/>
            <rFont val="Tahoma"/>
            <family val="2"/>
          </rPr>
          <t xml:space="preserve">
</t>
        </r>
        <r>
          <rPr>
            <sz val="10"/>
            <color rgb="FF000000"/>
            <rFont val="Tahoma"/>
            <family val="2"/>
          </rPr>
          <t>Less 3322t from NT (NEPM)</t>
        </r>
      </text>
    </comment>
    <comment ref="DK81" authorId="1" shapeId="0" xr:uid="{98EA1C04-8EC4-B14F-B26A-68046355CA4B}">
      <text>
        <r>
          <rPr>
            <b/>
            <sz val="10"/>
            <color rgb="FF000000"/>
            <rFont val="Tahoma"/>
            <family val="2"/>
          </rPr>
          <t>Microsoft Office User:</t>
        </r>
        <r>
          <rPr>
            <sz val="10"/>
            <color rgb="FF000000"/>
            <rFont val="Tahoma"/>
            <family val="2"/>
          </rPr>
          <t xml:space="preserve">
</t>
        </r>
        <r>
          <rPr>
            <sz val="10"/>
            <color rgb="FF000000"/>
            <rFont val="Tahoma"/>
            <family val="2"/>
          </rPr>
          <t>Taken from 2014-15 'Gap data', which was actually a 13/14 study</t>
        </r>
      </text>
    </comment>
    <comment ref="DZ81" authorId="1" shapeId="0" xr:uid="{9220BE84-5CB4-9545-B427-DFE6CEE51AC2}">
      <text>
        <r>
          <rPr>
            <b/>
            <sz val="10"/>
            <color rgb="FF000000"/>
            <rFont val="Tahoma"/>
            <family val="2"/>
          </rPr>
          <t>Microsoft Office User:</t>
        </r>
        <r>
          <rPr>
            <sz val="10"/>
            <color rgb="FF000000"/>
            <rFont val="Tahoma"/>
            <family val="2"/>
          </rPr>
          <t xml:space="preserve">
</t>
        </r>
        <r>
          <rPr>
            <sz val="10"/>
            <color rgb="FF000000"/>
            <rFont val="Tahoma"/>
            <family val="2"/>
          </rPr>
          <t xml:space="preserve">Taken from 2014-15 'Gap data', which was actually a 13/14 study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BR44" authorId="0" shapeId="0" xr:uid="{9492333A-29D3-6A4F-A7E8-F5BB759D4C7C}">
      <text>
        <r>
          <rPr>
            <b/>
            <sz val="10"/>
            <color rgb="FF000000"/>
            <rFont val="Tahoma"/>
            <family val="2"/>
          </rPr>
          <t>Microsoft Office User:</t>
        </r>
        <r>
          <rPr>
            <sz val="10"/>
            <color rgb="FF000000"/>
            <rFont val="Tahoma"/>
            <family val="2"/>
          </rPr>
          <t xml:space="preserve">
</t>
        </r>
        <r>
          <rPr>
            <sz val="10"/>
            <color rgb="FF000000"/>
            <rFont val="Tahoma"/>
            <family val="2"/>
          </rPr>
          <t>Tas imports missing from SA data - update next year. Temporary method: pop forecast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D66" authorId="0" shapeId="0" xr:uid="{819D2224-9ADA-4249-92EC-BA271854FA0C}">
      <text>
        <r>
          <rPr>
            <b/>
            <sz val="10"/>
            <color rgb="FF000000"/>
            <rFont val="Tahoma"/>
            <family val="2"/>
          </rPr>
          <t>Microsoft Office User:</t>
        </r>
        <r>
          <rPr>
            <sz val="10"/>
            <color rgb="FF000000"/>
            <rFont val="Tahoma"/>
            <family val="2"/>
          </rPr>
          <t xml:space="preserve">
</t>
        </r>
        <r>
          <rPr>
            <sz val="10"/>
            <color rgb="FF000000"/>
            <rFont val="Tahoma"/>
            <family val="2"/>
          </rPr>
          <t>Assume Tas D split 50:50 D220:D230</t>
        </r>
      </text>
    </comment>
    <comment ref="E66" authorId="0" shapeId="0" xr:uid="{11094034-3629-FD45-B6D4-6BB0E02A9409}">
      <text>
        <r>
          <rPr>
            <b/>
            <sz val="10"/>
            <color rgb="FF000000"/>
            <rFont val="Tahoma"/>
            <family val="2"/>
          </rPr>
          <t>Microsoft Office User:</t>
        </r>
        <r>
          <rPr>
            <sz val="10"/>
            <color rgb="FF000000"/>
            <rFont val="Tahoma"/>
            <family val="2"/>
          </rPr>
          <t xml:space="preserve">
</t>
        </r>
        <r>
          <rPr>
            <sz val="10"/>
            <color rgb="FF000000"/>
            <rFont val="Calibri"/>
            <family val="2"/>
          </rPr>
          <t xml:space="preserve">Assume Tas D split 50:50 D220:D230
</t>
        </r>
      </text>
    </comment>
    <comment ref="F66" authorId="0" shapeId="0" xr:uid="{CC7ACBDF-12EF-AF4F-AAC7-D718C08FAE12}">
      <text>
        <r>
          <rPr>
            <b/>
            <sz val="10"/>
            <color rgb="FF000000"/>
            <rFont val="Tahoma"/>
            <family val="2"/>
          </rPr>
          <t>Microsoft Office User:</t>
        </r>
        <r>
          <rPr>
            <sz val="10"/>
            <color rgb="FF000000"/>
            <rFont val="Tahoma"/>
            <family val="2"/>
          </rPr>
          <t xml:space="preserve">
</t>
        </r>
        <r>
          <rPr>
            <sz val="10"/>
            <color rgb="FF000000"/>
            <rFont val="Calibri"/>
            <family val="2"/>
            <scheme val="minor"/>
          </rPr>
          <t>Assume Tas D split 50:50 D220:D230</t>
        </r>
        <r>
          <rPr>
            <sz val="10"/>
            <color rgb="FF000000"/>
            <rFont val="Calibri"/>
            <family val="2"/>
            <scheme val="minor"/>
          </rPr>
          <t xml:space="preserve">
</t>
        </r>
      </text>
    </comment>
    <comment ref="G66" authorId="0" shapeId="0" xr:uid="{973D513F-781E-9143-AA4B-287CE77D0839}">
      <text>
        <r>
          <rPr>
            <b/>
            <sz val="10"/>
            <color rgb="FF000000"/>
            <rFont val="Tahoma"/>
            <family val="2"/>
          </rPr>
          <t>Microsoft Office User:</t>
        </r>
        <r>
          <rPr>
            <sz val="10"/>
            <color rgb="FF000000"/>
            <rFont val="Tahoma"/>
            <family val="2"/>
          </rPr>
          <t xml:space="preserve">
</t>
        </r>
        <r>
          <rPr>
            <sz val="10"/>
            <color rgb="FF000000"/>
            <rFont val="Calibri"/>
            <family val="2"/>
            <scheme val="minor"/>
          </rPr>
          <t>Assume Tas D split 50:50 D220:D230</t>
        </r>
        <r>
          <rPr>
            <sz val="10"/>
            <color rgb="FF000000"/>
            <rFont val="Calibri"/>
            <family val="2"/>
            <scheme val="minor"/>
          </rPr>
          <t xml:space="preserve">
</t>
        </r>
      </text>
    </comment>
    <comment ref="H66" authorId="0" shapeId="0" xr:uid="{D01E5210-9F93-6643-8283-8AB2401DBB22}">
      <text>
        <r>
          <rPr>
            <b/>
            <sz val="10"/>
            <color rgb="FF000000"/>
            <rFont val="Tahoma"/>
            <family val="2"/>
          </rPr>
          <t>Microsoft Office User:</t>
        </r>
        <r>
          <rPr>
            <sz val="10"/>
            <color rgb="FF000000"/>
            <rFont val="Tahoma"/>
            <family val="2"/>
          </rPr>
          <t xml:space="preserve">
</t>
        </r>
        <r>
          <rPr>
            <sz val="10"/>
            <color rgb="FF000000"/>
            <rFont val="Calibri"/>
            <family val="2"/>
            <scheme val="minor"/>
          </rPr>
          <t xml:space="preserve">Assume Tas D </t>
        </r>
        <r>
          <rPr>
            <sz val="10"/>
            <color rgb="FF000000"/>
            <rFont val="Calibri"/>
            <family val="2"/>
            <scheme val="minor"/>
          </rPr>
          <t>is 50:50 D220: D230</t>
        </r>
        <r>
          <rPr>
            <sz val="10"/>
            <color rgb="FF000000"/>
            <rFont val="Calibri"/>
            <family val="2"/>
            <scheme val="minor"/>
          </rPr>
          <t xml:space="preserve">
</t>
        </r>
      </text>
    </comment>
    <comment ref="I66" authorId="0" shapeId="0" xr:uid="{E841C29C-3F35-694F-8765-33EFDEE10C72}">
      <text>
        <r>
          <rPr>
            <b/>
            <sz val="10"/>
            <color rgb="FF000000"/>
            <rFont val="Tahoma"/>
            <family val="2"/>
          </rPr>
          <t>Microsoft Office User:</t>
        </r>
        <r>
          <rPr>
            <sz val="10"/>
            <color rgb="FF000000"/>
            <rFont val="Tahoma"/>
            <family val="2"/>
          </rPr>
          <t xml:space="preserve">
</t>
        </r>
        <r>
          <rPr>
            <sz val="10"/>
            <color rgb="FF000000"/>
            <rFont val="Calibri"/>
            <family val="2"/>
          </rPr>
          <t xml:space="preserve">Assume Tas D split 0:100 D220:D230
</t>
        </r>
      </text>
    </comment>
    <comment ref="J66" authorId="0" shapeId="0" xr:uid="{1F60C3E0-07AB-B448-91DF-094618A8F80A}">
      <text>
        <r>
          <rPr>
            <b/>
            <sz val="10"/>
            <color rgb="FF000000"/>
            <rFont val="Tahoma"/>
            <family val="2"/>
          </rPr>
          <t>Microsoft Office User:</t>
        </r>
        <r>
          <rPr>
            <sz val="10"/>
            <color rgb="FF000000"/>
            <rFont val="Tahoma"/>
            <family val="2"/>
          </rPr>
          <t xml:space="preserve">
</t>
        </r>
        <r>
          <rPr>
            <sz val="10"/>
            <color rgb="FF000000"/>
            <rFont val="Calibri"/>
            <family val="2"/>
          </rPr>
          <t xml:space="preserve">Assume Tas D split 0:100 D220:D230
</t>
        </r>
      </text>
    </comment>
    <comment ref="D67" authorId="0" shapeId="0" xr:uid="{5346543A-E486-C348-861C-53C09750B768}">
      <text>
        <r>
          <rPr>
            <b/>
            <sz val="10"/>
            <color rgb="FF000000"/>
            <rFont val="Tahoma"/>
            <family val="2"/>
          </rPr>
          <t>Microsoft Office User:</t>
        </r>
        <r>
          <rPr>
            <sz val="10"/>
            <color rgb="FF000000"/>
            <rFont val="Tahoma"/>
            <family val="2"/>
          </rPr>
          <t xml:space="preserve">
</t>
        </r>
        <r>
          <rPr>
            <sz val="10"/>
            <color rgb="FF000000"/>
            <rFont val="Calibri"/>
            <family val="2"/>
          </rPr>
          <t xml:space="preserve">Assume Tas D split 50:50 D220:D230
</t>
        </r>
      </text>
    </comment>
    <comment ref="E67" authorId="0" shapeId="0" xr:uid="{F1AE508E-2967-7E4A-A8ED-650E0114DA24}">
      <text>
        <r>
          <rPr>
            <b/>
            <sz val="10"/>
            <color rgb="FF000000"/>
            <rFont val="Tahoma"/>
            <family val="2"/>
          </rPr>
          <t>Microsoft Office User:</t>
        </r>
        <r>
          <rPr>
            <sz val="10"/>
            <color rgb="FF000000"/>
            <rFont val="Tahoma"/>
            <family val="2"/>
          </rPr>
          <t xml:space="preserve">
</t>
        </r>
        <r>
          <rPr>
            <sz val="10"/>
            <color rgb="FF000000"/>
            <rFont val="Calibri"/>
            <family val="2"/>
          </rPr>
          <t xml:space="preserve">Assume Tas D split 50:50 D220:D230
</t>
        </r>
      </text>
    </comment>
    <comment ref="F67" authorId="0" shapeId="0" xr:uid="{23608E95-2A44-5144-9646-2AE566386DE3}">
      <text>
        <r>
          <rPr>
            <b/>
            <sz val="10"/>
            <color rgb="FF000000"/>
            <rFont val="Tahoma"/>
            <family val="2"/>
          </rPr>
          <t>Microsoft Office User:</t>
        </r>
        <r>
          <rPr>
            <sz val="10"/>
            <color rgb="FF000000"/>
            <rFont val="Tahoma"/>
            <family val="2"/>
          </rPr>
          <t xml:space="preserve">
</t>
        </r>
        <r>
          <rPr>
            <sz val="10"/>
            <color rgb="FF000000"/>
            <rFont val="Calibri"/>
            <family val="2"/>
            <scheme val="minor"/>
          </rPr>
          <t>Assume Tas D split 50:50 D220:D230</t>
        </r>
        <r>
          <rPr>
            <sz val="10"/>
            <color rgb="FF000000"/>
            <rFont val="Calibri"/>
            <family val="2"/>
            <scheme val="minor"/>
          </rPr>
          <t xml:space="preserve">
</t>
        </r>
      </text>
    </comment>
    <comment ref="G67" authorId="0" shapeId="0" xr:uid="{8B164332-EA40-504C-8B7A-768628D9C412}">
      <text>
        <r>
          <rPr>
            <b/>
            <sz val="10"/>
            <color rgb="FF000000"/>
            <rFont val="Tahoma"/>
            <family val="2"/>
          </rPr>
          <t>Microsoft Office User:</t>
        </r>
        <r>
          <rPr>
            <sz val="10"/>
            <color rgb="FF000000"/>
            <rFont val="Tahoma"/>
            <family val="2"/>
          </rPr>
          <t xml:space="preserve">
</t>
        </r>
        <r>
          <rPr>
            <sz val="10"/>
            <color rgb="FF000000"/>
            <rFont val="Calibri"/>
            <family val="2"/>
          </rPr>
          <t xml:space="preserve">Assume Tas D split 50:50 D220:D230
</t>
        </r>
      </text>
    </comment>
    <comment ref="H67" authorId="0" shapeId="0" xr:uid="{DFE7CA02-E220-F148-8156-668A4C339E8F}">
      <text>
        <r>
          <rPr>
            <b/>
            <sz val="10"/>
            <color rgb="FF000000"/>
            <rFont val="Tahoma"/>
            <family val="2"/>
          </rPr>
          <t>Microsoft Office User:</t>
        </r>
        <r>
          <rPr>
            <sz val="10"/>
            <color rgb="FF000000"/>
            <rFont val="Tahoma"/>
            <family val="2"/>
          </rPr>
          <t xml:space="preserve">
</t>
        </r>
        <r>
          <rPr>
            <sz val="10"/>
            <color rgb="FF000000"/>
            <rFont val="Calibri"/>
            <family val="2"/>
          </rPr>
          <t xml:space="preserve">Assume Tas D split 50:50 D220:D230
</t>
        </r>
      </text>
    </comment>
  </commentList>
</comments>
</file>

<file path=xl/sharedStrings.xml><?xml version="1.0" encoding="utf-8"?>
<sst xmlns="http://schemas.openxmlformats.org/spreadsheetml/2006/main" count="15251" uniqueCount="792">
  <si>
    <t>A100</t>
  </si>
  <si>
    <t>B100</t>
  </si>
  <si>
    <t>C100</t>
  </si>
  <si>
    <t>D100</t>
  </si>
  <si>
    <t>D110</t>
  </si>
  <si>
    <t>D120</t>
  </si>
  <si>
    <t>D130</t>
  </si>
  <si>
    <t>D140</t>
  </si>
  <si>
    <t>D150</t>
  </si>
  <si>
    <t>D160</t>
  </si>
  <si>
    <t>D170</t>
  </si>
  <si>
    <t>D190</t>
  </si>
  <si>
    <t>D200</t>
  </si>
  <si>
    <t>D210</t>
  </si>
  <si>
    <t>D220</t>
  </si>
  <si>
    <t>D230</t>
  </si>
  <si>
    <t>D240</t>
  </si>
  <si>
    <t>D290</t>
  </si>
  <si>
    <t>D300</t>
  </si>
  <si>
    <t>D310</t>
  </si>
  <si>
    <t>D330</t>
  </si>
  <si>
    <t>D360</t>
  </si>
  <si>
    <t>E100</t>
  </si>
  <si>
    <t>F100</t>
  </si>
  <si>
    <t>G100</t>
  </si>
  <si>
    <t>G110</t>
  </si>
  <si>
    <t>G150</t>
  </si>
  <si>
    <t>G160</t>
  </si>
  <si>
    <t>H100</t>
  </si>
  <si>
    <t>H110</t>
  </si>
  <si>
    <t>H170</t>
  </si>
  <si>
    <t>J100</t>
  </si>
  <si>
    <t>J120</t>
  </si>
  <si>
    <t>J160</t>
  </si>
  <si>
    <t>K100</t>
  </si>
  <si>
    <t>K140</t>
  </si>
  <si>
    <t>M100</t>
  </si>
  <si>
    <t>M150</t>
  </si>
  <si>
    <t>M160</t>
  </si>
  <si>
    <t>M220</t>
  </si>
  <si>
    <t>M230</t>
  </si>
  <si>
    <t>M250</t>
  </si>
  <si>
    <t>M260</t>
  </si>
  <si>
    <t>N100</t>
  </si>
  <si>
    <t>N120</t>
  </si>
  <si>
    <t>N140</t>
  </si>
  <si>
    <t>N150</t>
  </si>
  <si>
    <t>N160</t>
  </si>
  <si>
    <t>N190</t>
  </si>
  <si>
    <t>N220</t>
  </si>
  <si>
    <t>N230</t>
  </si>
  <si>
    <t>R100</t>
  </si>
  <si>
    <t>R120</t>
  </si>
  <si>
    <t>R140</t>
  </si>
  <si>
    <t>T100</t>
  </si>
  <si>
    <t>T120</t>
  </si>
  <si>
    <t>A130</t>
  </si>
  <si>
    <t>D340</t>
  </si>
  <si>
    <t>D350</t>
  </si>
  <si>
    <t>F110</t>
  </si>
  <si>
    <t>K110</t>
  </si>
  <si>
    <t>K190</t>
  </si>
  <si>
    <t>M170</t>
  </si>
  <si>
    <t>M180</t>
  </si>
  <si>
    <t>M210</t>
  </si>
  <si>
    <t>N205</t>
  </si>
  <si>
    <t>T140</t>
  </si>
  <si>
    <t>A110</t>
  </si>
  <si>
    <t>D180</t>
  </si>
  <si>
    <t>D250</t>
  </si>
  <si>
    <t>D270</t>
  </si>
  <si>
    <t>T200</t>
  </si>
  <si>
    <t>ACT</t>
  </si>
  <si>
    <t>NT</t>
  </si>
  <si>
    <t>NEPM code</t>
  </si>
  <si>
    <t/>
  </si>
  <si>
    <t>2014-15</t>
  </si>
  <si>
    <t>2013-14</t>
  </si>
  <si>
    <t>2012-13</t>
  </si>
  <si>
    <t>2011-12</t>
  </si>
  <si>
    <t>2010-11</t>
  </si>
  <si>
    <t>2009-10</t>
  </si>
  <si>
    <t>2008-09</t>
  </si>
  <si>
    <t>2007-08</t>
  </si>
  <si>
    <t>Other</t>
  </si>
  <si>
    <t>2015-16</t>
  </si>
  <si>
    <t>2006-07</t>
  </si>
  <si>
    <t>Generation</t>
  </si>
  <si>
    <t>Arisings</t>
  </si>
  <si>
    <t>2016-17</t>
  </si>
  <si>
    <t>Data sources</t>
  </si>
  <si>
    <t>National study</t>
  </si>
  <si>
    <t>Factor x industry activity</t>
  </si>
  <si>
    <t>Black</t>
  </si>
  <si>
    <t>Blue</t>
  </si>
  <si>
    <t>Red</t>
  </si>
  <si>
    <t>Green</t>
  </si>
  <si>
    <t>Orange</t>
  </si>
  <si>
    <t>Other jurisdictional measurement system</t>
  </si>
  <si>
    <t>(arisings)</t>
  </si>
  <si>
    <t>The sum of the tonnes recorded in a hazardous waste tracking system in a time period. (A mass of tracked waste will arise more than once if it is moved more than once.)</t>
  </si>
  <si>
    <t>The sum of the tonnes of a waste produced in a jurisdiction and a time period. (Each waste mass is counted only once in the jurisdiction it was produced.)</t>
  </si>
  <si>
    <t>For details of how the data is differentiated, see the Australian Hazardous Waste Data and Reporting Standard</t>
  </si>
  <si>
    <t>Grey</t>
  </si>
  <si>
    <t>Fin. year</t>
  </si>
  <si>
    <t>Population (m)</t>
  </si>
  <si>
    <t>Workings (t)</t>
  </si>
  <si>
    <t>NSW</t>
  </si>
  <si>
    <t>SA</t>
  </si>
  <si>
    <t>Vic</t>
  </si>
  <si>
    <t>WA</t>
  </si>
  <si>
    <t>2016-17 arisings when density set to 1</t>
  </si>
  <si>
    <t>Qld (15-16)</t>
  </si>
  <si>
    <t>Total</t>
  </si>
  <si>
    <t>Equiv. total above</t>
  </si>
  <si>
    <t>Ratio</t>
  </si>
  <si>
    <t>Ratio of generation to arisings for data subject to tracking</t>
  </si>
  <si>
    <t>2014-15 and 2016-17</t>
  </si>
  <si>
    <t>2014-15 and 2016-17 average</t>
  </si>
  <si>
    <t>Qld, 2014-15 and 2015-16 average</t>
  </si>
  <si>
    <t>Qld</t>
  </si>
  <si>
    <t>2016-17 (transfer data unavailable for 14-15)</t>
  </si>
  <si>
    <t>Tas</t>
  </si>
  <si>
    <t>Exemption adjustment with Product Stewardship for Oil data</t>
  </si>
  <si>
    <t>Factor to convert arisings to generation</t>
  </si>
  <si>
    <t>Estimate using per capita generation elsewhere</t>
  </si>
  <si>
    <t>Estimated from internal jurisdictional data</t>
  </si>
  <si>
    <t>Italics</t>
  </si>
  <si>
    <t>Normal</t>
  </si>
  <si>
    <t>Underline</t>
  </si>
  <si>
    <t>Methods for estimating from internal jurisdictional data</t>
  </si>
  <si>
    <t>Bold</t>
  </si>
  <si>
    <t>Interpolation</t>
  </si>
  <si>
    <t>Back- or forecast using population data</t>
  </si>
  <si>
    <t>Ignore - data all or mostly from outside tracking systems</t>
  </si>
  <si>
    <t>Material ratio</t>
  </si>
  <si>
    <t>Tracking system (with density adjustment where appropriate)</t>
  </si>
  <si>
    <t>2014-15 generation</t>
  </si>
  <si>
    <t>Basel data</t>
  </si>
  <si>
    <t xml:space="preserve">Contents: </t>
  </si>
  <si>
    <t>Exports, Imports, Generation</t>
  </si>
  <si>
    <t>Year</t>
  </si>
  <si>
    <t>Y code</t>
  </si>
  <si>
    <t>Waste Streams/ wastes having as constituents</t>
  </si>
  <si>
    <t xml:space="preserve">Sources: </t>
  </si>
  <si>
    <t>Basel reports provided by the Department of the Environment</t>
  </si>
  <si>
    <t>Exports</t>
  </si>
  <si>
    <t>Amount exported (t)</t>
  </si>
  <si>
    <t>Recovery operation (Annex IV B) R code</t>
  </si>
  <si>
    <t>Translation, from Basel workbook</t>
  </si>
  <si>
    <t>Summary of exports</t>
  </si>
  <si>
    <t>Generation by Y-code</t>
  </si>
  <si>
    <t>Imports</t>
  </si>
  <si>
    <t>Y33</t>
  </si>
  <si>
    <t>Second Cut Pot Lining</t>
  </si>
  <si>
    <t>R5</t>
  </si>
  <si>
    <t>Y-code</t>
  </si>
  <si>
    <t>A</t>
  </si>
  <si>
    <t>D, B</t>
  </si>
  <si>
    <t>D</t>
  </si>
  <si>
    <t>F, M160</t>
  </si>
  <si>
    <t>F</t>
  </si>
  <si>
    <t>Not specified</t>
  </si>
  <si>
    <t>QLD</t>
  </si>
  <si>
    <t>TAS</t>
  </si>
  <si>
    <t>VIC</t>
  </si>
  <si>
    <t>Sum</t>
  </si>
  <si>
    <t>Y31, Y26</t>
  </si>
  <si>
    <t>Mixed Batteries</t>
  </si>
  <si>
    <t>R4, R5</t>
  </si>
  <si>
    <t>ü</t>
  </si>
  <si>
    <t>Y22</t>
  </si>
  <si>
    <t>Lead Dross</t>
  </si>
  <si>
    <t>R4</t>
  </si>
  <si>
    <t>Y22, Y23</t>
  </si>
  <si>
    <t>Spent Catalysts</t>
  </si>
  <si>
    <t>R8</t>
  </si>
  <si>
    <t>Y22, Y23, Y29, Y31</t>
  </si>
  <si>
    <t>R4, R8</t>
  </si>
  <si>
    <t>Y24, Y26, Y27, Y29, Y31</t>
  </si>
  <si>
    <t>Silver-rich Sands</t>
  </si>
  <si>
    <t>Y31, Y34</t>
  </si>
  <si>
    <t>Used lead acid batteries</t>
  </si>
  <si>
    <t>Y12, Y45</t>
  </si>
  <si>
    <t>Waste electrical and electronic scrap</t>
  </si>
  <si>
    <t>R3, R4, R5</t>
  </si>
  <si>
    <t>B</t>
  </si>
  <si>
    <t>Y31</t>
  </si>
  <si>
    <t>Waste cullet from cathode ray tubes</t>
  </si>
  <si>
    <t>Y26</t>
  </si>
  <si>
    <t>Nickel cadmium batteries</t>
  </si>
  <si>
    <t>Y26, Y31</t>
  </si>
  <si>
    <t xml:space="preserve">Waste zinc residues </t>
  </si>
  <si>
    <t>Y24,Y31</t>
  </si>
  <si>
    <t>Spent nickel molybdenum catalyst</t>
  </si>
  <si>
    <t>Y29</t>
  </si>
  <si>
    <t>Dental amalgam sludge</t>
  </si>
  <si>
    <t>Leaded anti-knock compound sludge</t>
  </si>
  <si>
    <t>Y32</t>
  </si>
  <si>
    <t>Spent Pot Linings</t>
  </si>
  <si>
    <t>Copper ammonium chloride</t>
  </si>
  <si>
    <t>Y12</t>
  </si>
  <si>
    <t>Used toner cartridges</t>
  </si>
  <si>
    <t>Y13</t>
  </si>
  <si>
    <t>Polyester resin waste</t>
  </si>
  <si>
    <t>R2</t>
  </si>
  <si>
    <t>Y25</t>
  </si>
  <si>
    <t>Precious metal concentrate</t>
  </si>
  <si>
    <t xml:space="preserve">Y31 </t>
  </si>
  <si>
    <t>Aluminium alkyls and non-halogenated solvents</t>
  </si>
  <si>
    <t>Amount imported (t)</t>
  </si>
  <si>
    <t>Final disposal operation (Annex IV A) D code</t>
  </si>
  <si>
    <t>Summary of imports</t>
  </si>
  <si>
    <t>Y23</t>
  </si>
  <si>
    <t>Zinc Ash</t>
  </si>
  <si>
    <t>B, D, J</t>
  </si>
  <si>
    <t>R</t>
  </si>
  <si>
    <t>B, C</t>
  </si>
  <si>
    <t>n/a</t>
  </si>
  <si>
    <t>G</t>
  </si>
  <si>
    <t>H, M</t>
  </si>
  <si>
    <t>Waste from production, fomulation and use of inks, dyes, pigments, paints, lacquers, varnish</t>
  </si>
  <si>
    <t>Y46, Y8, Y9, Y31, Y34</t>
  </si>
  <si>
    <t>Waste oil, oily waters, battery acid, assorted household wastes, compacted empty drums and tanks with traces of hydrocarbons</t>
  </si>
  <si>
    <t>D1</t>
  </si>
  <si>
    <t>R4, R9</t>
  </si>
  <si>
    <t>Y23, Y31</t>
  </si>
  <si>
    <t>Zinc Skimmings</t>
  </si>
  <si>
    <t>H</t>
  </si>
  <si>
    <t>Y22, Y23, Y26, Y31</t>
  </si>
  <si>
    <t>Glass waste from cathode-ray tubes and other activated glasses</t>
  </si>
  <si>
    <t>J</t>
  </si>
  <si>
    <t xml:space="preserve">Y1 </t>
  </si>
  <si>
    <t>Clinical Waste</t>
  </si>
  <si>
    <t>D10</t>
  </si>
  <si>
    <t>M</t>
  </si>
  <si>
    <t>Used Lead Acid Batteries</t>
  </si>
  <si>
    <t>Y34, Y35</t>
  </si>
  <si>
    <t>Waste Lithium sulphur dioxide and lithium manganese dioxide batteries</t>
  </si>
  <si>
    <t>D5</t>
  </si>
  <si>
    <t>Unsorted mixed lithium batteries</t>
  </si>
  <si>
    <t>Y46</t>
  </si>
  <si>
    <t>Household wastes</t>
  </si>
  <si>
    <t>Y1</t>
  </si>
  <si>
    <t>Clinical waste</t>
  </si>
  <si>
    <t>Y42</t>
  </si>
  <si>
    <t>Lithium batteries</t>
  </si>
  <si>
    <t>C</t>
  </si>
  <si>
    <t>Selenium sludge</t>
  </si>
  <si>
    <t xml:space="preserve">Nickel filter cake intermediate </t>
  </si>
  <si>
    <t>Y4, Y10</t>
  </si>
  <si>
    <t>Wastes from the production, formulation and use of biocides and phytopharmaceuticals; and/or Waste substances and articles containing or contaminated with polychlorinated biphenyls (PCBs) and/or polychlorinated terphenyls (PCTs) and/or polybrominated biphenyls (PBBs)</t>
  </si>
  <si>
    <t>D15, D9</t>
  </si>
  <si>
    <t>Waste fluorescent tubes and lamps containing mercury</t>
  </si>
  <si>
    <t>R4,R5</t>
  </si>
  <si>
    <t>Generation by state</t>
  </si>
  <si>
    <t>Waste streams</t>
  </si>
  <si>
    <t>Clinical wastes from medical care in hospitals, medical centres and clinics</t>
  </si>
  <si>
    <t>Y2</t>
  </si>
  <si>
    <t>Wastes from the production and preparation of pharmaceutical products</t>
  </si>
  <si>
    <t>Y3</t>
  </si>
  <si>
    <t>Waste pharmaceuticals, drugs and medicines</t>
  </si>
  <si>
    <t>Y4</t>
  </si>
  <si>
    <t>Wastes from the production…... of biocides and phytopharmaceuticals</t>
  </si>
  <si>
    <t>Y5</t>
  </si>
  <si>
    <t>Wastes from the manufacture…... of wood preserving chemicals</t>
  </si>
  <si>
    <t>Y6</t>
  </si>
  <si>
    <t>Wastes from the production, formulation and use of organic solvent</t>
  </si>
  <si>
    <t>Y7</t>
  </si>
  <si>
    <t>Wastes from heat treatment and tempering operations containing cyanides</t>
  </si>
  <si>
    <t xml:space="preserve"> -   </t>
  </si>
  <si>
    <t>Y8</t>
  </si>
  <si>
    <t>Waste mineral oils unfit for their originally intended use</t>
  </si>
  <si>
    <t>Y9</t>
  </si>
  <si>
    <t>Waste oils/water, hydrocarbons/water mixtures, emulsion</t>
  </si>
  <si>
    <t>Y10</t>
  </si>
  <si>
    <t xml:space="preserve">Waste substances ….containing or contaminated with PCBs, PCTs, PBBs </t>
  </si>
  <si>
    <t>Y11</t>
  </si>
  <si>
    <t>Waste tarry residues ... from refining, distillation and any pyrolytic treatment</t>
  </si>
  <si>
    <t>Wastes from production…... of inks, dyes, pigments, paints, etc</t>
  </si>
  <si>
    <t>Wastes from production……resins, latex, plasticizers, glues, etc</t>
  </si>
  <si>
    <t>Y14</t>
  </si>
  <si>
    <t>Waste chemical substances arising ….. environment are not known</t>
  </si>
  <si>
    <t>Y15</t>
  </si>
  <si>
    <t>Wastes of an explosive nature not subject to other legislation</t>
  </si>
  <si>
    <t>Y16</t>
  </si>
  <si>
    <t>Wastes from production, formulation and use of photographic chemicals…</t>
  </si>
  <si>
    <t>Y17</t>
  </si>
  <si>
    <t>Wastes resulting from surface treatment of metals and plastics</t>
  </si>
  <si>
    <t>Y18</t>
  </si>
  <si>
    <t>Residues arising from industrial waste disposal operations</t>
  </si>
  <si>
    <t>Y19</t>
  </si>
  <si>
    <t>Metal carbonyls</t>
  </si>
  <si>
    <t>Wastes having as constituents (Annex I to Basel Convention)</t>
  </si>
  <si>
    <t>Y20</t>
  </si>
  <si>
    <t>Beryllium; beryllium compounds</t>
  </si>
  <si>
    <t>Y21</t>
  </si>
  <si>
    <t>Hexavalent chromium compounds</t>
  </si>
  <si>
    <t>Copper compounds</t>
  </si>
  <si>
    <t>Zinc compounds</t>
  </si>
  <si>
    <t>Y24</t>
  </si>
  <si>
    <t>Arsenic; arsenic compounds</t>
  </si>
  <si>
    <t>Selenium; selenium compounds</t>
  </si>
  <si>
    <t>Cadmium; cadmium compounds</t>
  </si>
  <si>
    <t>Y27</t>
  </si>
  <si>
    <t>Antimony; antimony compounds</t>
  </si>
  <si>
    <t>Y28</t>
  </si>
  <si>
    <t>Tellurium; tellurium compounds</t>
  </si>
  <si>
    <t>Mercury; mercury compounds</t>
  </si>
  <si>
    <t>Y30</t>
  </si>
  <si>
    <t>Thallium; thallium compounds</t>
  </si>
  <si>
    <t>Lead; lead compounds</t>
  </si>
  <si>
    <t>Inorganic fluorine compounds excluding calcium fluoride</t>
  </si>
  <si>
    <t>Inorganic cyanides</t>
  </si>
  <si>
    <t>Y34</t>
  </si>
  <si>
    <t>Acidic solutions or acids in solid form</t>
  </si>
  <si>
    <t>Y35</t>
  </si>
  <si>
    <t>Basic solutions or bases in solid form</t>
  </si>
  <si>
    <t>Y36</t>
  </si>
  <si>
    <t>Asbestos (dust and fibres)</t>
  </si>
  <si>
    <t>Y37</t>
  </si>
  <si>
    <t>Organic phosphorus compounds</t>
  </si>
  <si>
    <t>Y38</t>
  </si>
  <si>
    <t>Organic cyanides</t>
  </si>
  <si>
    <t>Y39</t>
  </si>
  <si>
    <t>Phenols; phenol compounds including chlorophenols</t>
  </si>
  <si>
    <t>Y40</t>
  </si>
  <si>
    <t>Ethers</t>
  </si>
  <si>
    <t>Y41</t>
  </si>
  <si>
    <t>Halogenated organic solvents</t>
  </si>
  <si>
    <t xml:space="preserve"> </t>
  </si>
  <si>
    <t>Organic solvents excluding halogenated solvents</t>
  </si>
  <si>
    <t>Y43</t>
  </si>
  <si>
    <t>Any congenor of polychlorinated dibenzo-furan</t>
  </si>
  <si>
    <t>Y44</t>
  </si>
  <si>
    <t>Any congenor of polychlorinated dibenzo-p-dioxin</t>
  </si>
  <si>
    <t>Y45</t>
  </si>
  <si>
    <t>Organohalogen compounds other than …(e.g. Y39, Y41, Y42, Y43, Y44)</t>
  </si>
  <si>
    <t>Categories of wastes requiring special consideration (Annex II to Basel Convention)</t>
  </si>
  <si>
    <t>Wastes collected from households</t>
  </si>
  <si>
    <t>Y47</t>
  </si>
  <si>
    <t>Residues arising from the incineration of household wastes</t>
  </si>
  <si>
    <t>Source report</t>
  </si>
  <si>
    <t>2003, 2004</t>
  </si>
  <si>
    <t>2002, 3, 4</t>
  </si>
  <si>
    <t>2006, 2005</t>
  </si>
  <si>
    <t>SUMMARY TABLES</t>
  </si>
  <si>
    <t>Tonnes leaving jurisdiction</t>
  </si>
  <si>
    <t>SUMMARY</t>
  </si>
  <si>
    <t>Code</t>
  </si>
  <si>
    <t>Description</t>
  </si>
  <si>
    <t>TOTAL</t>
  </si>
  <si>
    <t>Plating &amp; heat treatment</t>
  </si>
  <si>
    <t>Acids</t>
  </si>
  <si>
    <t>Alkalis</t>
  </si>
  <si>
    <t>Inorganic chemicals</t>
  </si>
  <si>
    <t>E</t>
  </si>
  <si>
    <t>Reactive chemicals</t>
  </si>
  <si>
    <t>Paints, resins, inks organic sludges</t>
  </si>
  <si>
    <t>Organic solvents</t>
  </si>
  <si>
    <t>Pesticides</t>
  </si>
  <si>
    <t>Oils</t>
  </si>
  <si>
    <t>K</t>
  </si>
  <si>
    <t>Putrescible/organic waste</t>
  </si>
  <si>
    <t>L</t>
  </si>
  <si>
    <t>Industrial washwater</t>
  </si>
  <si>
    <t>Organic chemicals</t>
  </si>
  <si>
    <t>N</t>
  </si>
  <si>
    <t>Soil/sludge</t>
  </si>
  <si>
    <t>Clinical &amp; pharmaceutical</t>
  </si>
  <si>
    <t>T</t>
  </si>
  <si>
    <t>Misc.</t>
  </si>
  <si>
    <t>Ext. terr.</t>
  </si>
  <si>
    <t>Prior to 2009-10, Ext. terr. Tonnages were included with the ACT (see Tas 2008-09 in data table)</t>
  </si>
  <si>
    <t>ALL DATA</t>
  </si>
  <si>
    <t>Data source: NEPC Annual Reports (http://www.scew.gov.au/publications/nepc-annual-reports)</t>
  </si>
  <si>
    <t>State waste coming into</t>
  </si>
  <si>
    <t>Ref cells</t>
  </si>
  <si>
    <t>Ext. terr</t>
  </si>
  <si>
    <t>Notes</t>
  </si>
  <si>
    <t>Includes the Australian Antarctic Territory</t>
  </si>
  <si>
    <t>0.00 </t>
  </si>
  <si>
    <t> 0.00</t>
  </si>
  <si>
    <t>Raw historical Basel data</t>
  </si>
  <si>
    <t>Using historical NEPM data</t>
  </si>
  <si>
    <t>Pink</t>
  </si>
  <si>
    <t>Introduction</t>
  </si>
  <si>
    <t xml:space="preserve">Date: </t>
  </si>
  <si>
    <t>Key</t>
  </si>
  <si>
    <t xml:space="preserve">Version: </t>
  </si>
  <si>
    <t>Green text</t>
  </si>
  <si>
    <t>Input data from external source</t>
  </si>
  <si>
    <t xml:space="preserve">Project name: </t>
  </si>
  <si>
    <t>Black text</t>
  </si>
  <si>
    <t>Calculations or analysis</t>
  </si>
  <si>
    <t xml:space="preserve">Client: </t>
  </si>
  <si>
    <t>Red text</t>
  </si>
  <si>
    <t>Assumptions</t>
  </si>
  <si>
    <t xml:space="preserve">Main workbook authors: </t>
  </si>
  <si>
    <t xml:space="preserve">Peer reviewers: </t>
  </si>
  <si>
    <t>Additional colour coding is detailed in individual worksheets</t>
  </si>
  <si>
    <t>Brief description of the workbook</t>
  </si>
  <si>
    <t>Navigation</t>
  </si>
  <si>
    <t>Worksheet group</t>
  </si>
  <si>
    <t>Disclaimer</t>
  </si>
  <si>
    <t xml:space="preserve">This database was prepared in accordance with the terms and conditions of appointment and within constraints of time and budget. It may contain data and information that has not been verified by the authors due to scope and capacity limitations. While all professional care has been undertaken in its preparation, Blue Environment Pty Ltd cannot accept any responsibility for any inaccuracies or omissions in these data, nor for the consequences of use of or reliance on the workbook contents by any third party. </t>
  </si>
  <si>
    <t>P1121 National waste data and reporting cycle 2019-22</t>
  </si>
  <si>
    <t>Department of Agriculture, Water and the Environment</t>
  </si>
  <si>
    <t>2017-18</t>
  </si>
  <si>
    <t>2018-19</t>
  </si>
  <si>
    <t>NSW to SA</t>
  </si>
  <si>
    <t>tonnes</t>
  </si>
  <si>
    <t>3-yr av</t>
  </si>
  <si>
    <t>Total all</t>
  </si>
  <si>
    <t>Total D</t>
  </si>
  <si>
    <t>% of D</t>
  </si>
  <si>
    <t>Waste</t>
  </si>
  <si>
    <t>Average</t>
  </si>
  <si>
    <t>Back- or forecast using historical trend</t>
  </si>
  <si>
    <t>% D230/(D220+D230)</t>
  </si>
  <si>
    <t>Total D (NEPM)</t>
  </si>
  <si>
    <t>Total D220 + D300</t>
  </si>
  <si>
    <t>% D220/(D220+D300)</t>
  </si>
  <si>
    <t>Notes:</t>
  </si>
  <si>
    <t>ULAB D220 in NSW and Tas (2018)</t>
  </si>
  <si>
    <t>Total market</t>
  </si>
  <si>
    <t>Processed in Aust</t>
  </si>
  <si>
    <t>National ULAB arisings (2009/10), t</t>
  </si>
  <si>
    <t>Warnken ISE (2010) Analysis of Battery Consumption, Recycling and Disposal in Australia. Report for Australian Battery Recycling Initiative (ABRI) November 2010</t>
  </si>
  <si>
    <t>ISF, UTS (2014), available at: https://www.environment.gov.au/system/files/resources/b72944c5-4479-4bb3-89bd-740079c06743/files/lead-acid-batteries-entering-australia.pdf</t>
  </si>
  <si>
    <t>National ULAB arisings (2012/13), t</t>
  </si>
  <si>
    <t>Estimated national market (processed in Aust), tonnes</t>
  </si>
  <si>
    <t>Annual growth rate</t>
  </si>
  <si>
    <t>2018-19 National hazardous waste data collation (D220 - ULAB generation, tonnes)</t>
  </si>
  <si>
    <t>Total (ex NSW &amp; Tas)</t>
  </si>
  <si>
    <t xml:space="preserve">NSW &amp; Tas = </t>
  </si>
  <si>
    <t>Population</t>
  </si>
  <si>
    <t>Aust</t>
  </si>
  <si>
    <t>%</t>
  </si>
  <si>
    <t>Methods</t>
  </si>
  <si>
    <t>Density adjusted</t>
  </si>
  <si>
    <t>Qld/Vic mult. count correction factor used?</t>
  </si>
  <si>
    <t>D110 SPL calc.</t>
  </si>
  <si>
    <t>PSO J100 adjust</t>
  </si>
  <si>
    <t>Pop. Adjust K/R</t>
  </si>
  <si>
    <t>Tyres study data</t>
  </si>
  <si>
    <t>N160 inc. ?</t>
  </si>
  <si>
    <t>SA imports visible?</t>
  </si>
  <si>
    <t>D230 to SA adjustment req’d?</t>
  </si>
  <si>
    <t>NHWDC file name &amp; notes</t>
  </si>
  <si>
    <t>1. Except for G110 (double-count = 63% of storage tonnes), J120 (double-count = 62% of storage tonnes), K110 (double-count = 43% of storage tonnes)</t>
  </si>
  <si>
    <t>x</t>
  </si>
  <si>
    <t>NSW, Qld, SA, Vic, WA: historical record – key method constraints (by financial year)</t>
  </si>
  <si>
    <t>method item not applied</t>
  </si>
  <si>
    <t>already in NHWDC for that year</t>
  </si>
  <si>
    <t>Fin. Year</t>
  </si>
  <si>
    <t>Historical record (2006-07 to 2018-19) – additional waste-specific adjustment methods</t>
  </si>
  <si>
    <t>Average of Basel data</t>
  </si>
  <si>
    <t>Gen = arisings</t>
  </si>
  <si>
    <t>Gen = arisings + interstate allocation</t>
  </si>
  <si>
    <t>SPL adjustment method</t>
  </si>
  <si>
    <t>Back-cast (pop)</t>
  </si>
  <si>
    <t>Average of 2014-15 &amp; 2016-17</t>
  </si>
  <si>
    <t>Add/subtract NSW in/out (NEPM ‘G’ data 2010-11)</t>
  </si>
  <si>
    <t>Add/subtract NSW in/out (NEPM ‘G’ data 2011-12)</t>
  </si>
  <si>
    <t>Add/subtract NSW in/out (NEPM ‘G’ data 2012-13)</t>
  </si>
  <si>
    <t>Add/subtract NSW in/out (NEPM ‘G’ data 2013-14)</t>
  </si>
  <si>
    <t>Add/subtract NSW in/out (NEPM ‘G’ data 2014-15) minus DC correction</t>
  </si>
  <si>
    <t>Gen = arisings + interstate allocation - DC correction</t>
  </si>
  <si>
    <t>Gen = arisings - DC correction</t>
  </si>
  <si>
    <t>Average of years 2013-14 – 2016-17 (before large increases in 17-18 &amp; 18-19)</t>
  </si>
  <si>
    <t>Interpolation between years</t>
  </si>
  <si>
    <t>Add/subtract NSW in/out (NEPM ‘G’ data 2006-07) to Average of Basel data</t>
  </si>
  <si>
    <t>Add/subtract NSW in/out (NEPM ‘G’ data 2007-08) to Average of Basel data</t>
  </si>
  <si>
    <t>Add/subtract NSW in/out (NEPM ‘G’ data 2008-09) to Average of Basel data</t>
  </si>
  <si>
    <t>Add/subtract NSW in/out (NEPM ‘G’ data 2009-10) to Average of Basel data</t>
  </si>
  <si>
    <r>
      <t xml:space="preserve">Gen = arisings </t>
    </r>
    <r>
      <rPr>
        <b/>
        <vertAlign val="superscript"/>
        <sz val="10"/>
        <color rgb="FFFFFFFF"/>
        <rFont val="Calibri (Body)"/>
      </rPr>
      <t>1</t>
    </r>
  </si>
  <si>
    <t>Add 2011-12 NEPM ‘A’ data (NSW to Qld)</t>
  </si>
  <si>
    <t>Add 2010-11 NEPM ‘A’ data (NSW to Qld)</t>
  </si>
  <si>
    <t>Add 2012-13 NEPM ‘A’ data (NSW to Qld)</t>
  </si>
  <si>
    <t>Add 2013-14 NEPM ‘A’ data (NSW to Qld)</t>
  </si>
  <si>
    <t>Add 2014-15 NEPM ‘A’ data (NSW toQld)</t>
  </si>
  <si>
    <t>Add 2015-16 NEPM ‘A’ data (NSW toQld)</t>
  </si>
  <si>
    <t>Subtract 2006-07 NEPM ‘B’ data (Vic to NSW) from average of Basel data</t>
  </si>
  <si>
    <t>Subtract 2007-08 NEPM ‘B’ data (Vic to NSW) from average of Basel data</t>
  </si>
  <si>
    <t>Subtract 2010-11 NEPM ‘B’ data (Vic to NSW)</t>
  </si>
  <si>
    <t>Subtract 2011-12 NEPM ‘B’ data (Vic to NSW)</t>
  </si>
  <si>
    <t>Subtract 2012-13 NEPM ‘B’ data (Vic to NSW)</t>
  </si>
  <si>
    <t>Subtract 2013-14 NEPM ‘B’ data (Vic to NSW)</t>
  </si>
  <si>
    <t>Subtract 2015-16 NEPM ‘B’ data (Vic to NSW)</t>
  </si>
  <si>
    <t>Add 2010-11 NEPM ‘D’ data (NSW to SA), 93% split</t>
  </si>
  <si>
    <t>Add 2011-12 NEPM ‘D’ data (NSW to SA), 93% split</t>
  </si>
  <si>
    <t>Add 2012-13 NEPM ‘D’ data (NSW to SA), 93% split</t>
  </si>
  <si>
    <t>Add 2013-14 NEPM ‘D’ data (NSW to SA), 93% split</t>
  </si>
  <si>
    <t>Add 2014-15 NEPM ‘D’ data (NSW to SA), 93% split</t>
  </si>
  <si>
    <t>Subtract 2010-11 NEPM ‘F’ data (Vic to NSW)</t>
  </si>
  <si>
    <t>Subtract 2011-12 NEPM ‘F’ data (Vic to NSW)</t>
  </si>
  <si>
    <t>Subtract 2012-13 NEPM ‘F’ data (Vic to NSW)</t>
  </si>
  <si>
    <t>Subtract 2013-14 NEPM ‘F’ data (Vic to NSW)</t>
  </si>
  <si>
    <t>Subtract 2015-16 NEPM ‘F’ data (Vic to NSW)</t>
  </si>
  <si>
    <t>Add 2010-11 NEPM ‘H’ data (NSW to Qld)</t>
  </si>
  <si>
    <t>Add 2011-12 NEPM ‘H’ data (NSW to Qld)</t>
  </si>
  <si>
    <t>Add 2012-13 NEPM ‘H’ data (NSW to Qld)</t>
  </si>
  <si>
    <t>Add 2013-14 NEPM ‘H’ data (NSW to Qld)</t>
  </si>
  <si>
    <t>Add 2015-16 NEPM ‘H’ data (NSW to Qld)</t>
  </si>
  <si>
    <t>Add 2010-11 NEPM ‘M’ data (NSW to Qld)</t>
  </si>
  <si>
    <t>Add 2011-12 NEPM ‘M’ data (NSW to Qld)</t>
  </si>
  <si>
    <t>Add 2012-13 NEPM ‘M’ data (NSW to Qld)</t>
  </si>
  <si>
    <t>Add 2013-14 NEPM ‘M’ data (NSW to Qld)</t>
  </si>
  <si>
    <t>Add 2015-16 NEPM ‘M’ data (NSW to Qld)</t>
  </si>
  <si>
    <t>Subtract 2008-09 NEPM ‘B’ data (Vic to NSW) from average of Basel data</t>
  </si>
  <si>
    <t>Subtract 2009-10 NEPM ‘B’ data (Vic to NSW) from average of Basel data</t>
  </si>
  <si>
    <t>Add 2006-07 NEPM ‘D’ data (NSW to SA), 93% split to average of Basel data</t>
  </si>
  <si>
    <t>Add 2007-08 NEPM ‘D’ data (NSW to SA), 93% split to average of Basel data</t>
  </si>
  <si>
    <t>Add 2008-09 NEPM ‘D’ data (NSW to SA), 93% split to average of Basel data</t>
  </si>
  <si>
    <t>Add 2009-10 NEPM ‘D’ data (NSW to SA), 93% split to average of Basel data</t>
  </si>
  <si>
    <t>Subtract 2006-07 NEPM ‘F’ data (Vic to NSW) from Average of Basel data</t>
  </si>
  <si>
    <t>Subtract 2007-08 NEPM ‘F’ data (Vic to NSW) from Average of Basel data</t>
  </si>
  <si>
    <t>Subtract 2008-09NEPM ‘F’ data (Vic to NSW) from Average of Basel data</t>
  </si>
  <si>
    <t>Subtract 2009-10 NEPM ‘F’ data (Vic to NSW) from Average of Basel data</t>
  </si>
  <si>
    <t>New method: total market estimate minus other jurisdictions = NSW generation (wrt ULABs)</t>
  </si>
  <si>
    <t>Back cast using histrorical trend (of ULABs market)</t>
  </si>
  <si>
    <t>Forecast using histroical trend</t>
  </si>
  <si>
    <t>Add 2006-07 NEPM ‘B’ data (Vic to NSW) to Vic arisings</t>
  </si>
  <si>
    <t>Add 2007-08 NEPM ‘B’ data (Vic to NSW) to Vic arisings</t>
  </si>
  <si>
    <t>Add 2008-09 NEPM ‘B’ data (Vic to NSW) to Vic arisings</t>
  </si>
  <si>
    <t>Add 2009-10 NEPM ‘B’ data (Vic to NSW) to Vic arisings</t>
  </si>
  <si>
    <t>Add 2010-11 NEPM ‘B’ data (Vic to NSW) to Vic arisings</t>
  </si>
  <si>
    <t>Add 2011-12 NEPM ‘B’ data (Vic to NSW) to Vic arisings</t>
  </si>
  <si>
    <t>Add 2012-13 NEPM ‘B’ data (Vic to NSW) to Vic arisings</t>
  </si>
  <si>
    <t>Add 2013-14 NEPM ‘B’ data (Vic to NSW) to Vic arisings</t>
  </si>
  <si>
    <t>Add 2015-16 NEPM ‘B’ data (Vic to NSW) to Vic arisings</t>
  </si>
  <si>
    <t>Back cast growth rate based on ULAB market studies</t>
  </si>
  <si>
    <t>Add 2014-15 NEPM ‘D’ data (VIC to SA), 7% split</t>
  </si>
  <si>
    <t>Add 2015-16 NEPM ‘D’ data (VIC to SA), 7% split</t>
  </si>
  <si>
    <t>Add 2013-14 NEPM ‘D’ data (VIC to SA), 93% split</t>
  </si>
  <si>
    <t>Add 2014-15 NEPM ‘D’ data (VIC to SA), 93% split</t>
  </si>
  <si>
    <t>Add 2015-16 NEPM ‘D’ data (VIC to SA), 93% split</t>
  </si>
  <si>
    <t>Gen = arisings + interstate allocation – DC correction</t>
  </si>
  <si>
    <t>Gen = arisings– DC correction</t>
  </si>
  <si>
    <t>Gen = arisings + interstate allocation (average of 2014-15 &amp; 2016-17)</t>
  </si>
  <si>
    <t>No SA import data provided so typical NEPM data (D230/D) proportion added to other Vic generation</t>
  </si>
  <si>
    <t>No SA import data provided so typical NEPM data (D220/D) proportion added to other Vic generation</t>
  </si>
  <si>
    <t>Add 2015-16 NEPM ‘D’ data (WA to NSW)</t>
  </si>
  <si>
    <t>Add 2006-07 NEPM ‘D’ data (WA to NSW)</t>
  </si>
  <si>
    <t>Add 2007-08 NEPM ‘D’ data (WA to NSW)</t>
  </si>
  <si>
    <t>Add 2008-09 NEPM ‘D’ data (WA to NSW)</t>
  </si>
  <si>
    <t>Add 2009-10 NEPM ‘D’ data (WA to NSW)</t>
  </si>
  <si>
    <t>Add 2010-11 NEPM ‘D’ data (WA to NSW)</t>
  </si>
  <si>
    <t>Add 2011-12 NEPM ‘D’ data (WA to NSW)</t>
  </si>
  <si>
    <t>Add 2012-13 NEPM ‘D’ data (WA to NSW)</t>
  </si>
  <si>
    <t>Add 2013-14 NEPM ‘D’ data (WA to NSW)</t>
  </si>
  <si>
    <t>Forecast (pop)</t>
  </si>
  <si>
    <t>2005-06</t>
  </si>
  <si>
    <t>NEPM codes</t>
  </si>
  <si>
    <t>All forms</t>
  </si>
  <si>
    <t>SA D220 &amp; D230 Arisings trend</t>
  </si>
  <si>
    <t>Tas exports of D waste to SA (NEPM)</t>
  </si>
  <si>
    <t>D waste (Tas to SA)</t>
  </si>
  <si>
    <t>Est. D220 (Tas to SA)</t>
  </si>
  <si>
    <t>Est. D230 (Tas to SA)</t>
  </si>
  <si>
    <t>Est. D220 (SA gen)</t>
  </si>
  <si>
    <t>Est. D230 (SA gen)</t>
  </si>
  <si>
    <t>Est. D230 (NSW to SA)</t>
  </si>
  <si>
    <t>Est. D230 (Vic to SA)</t>
  </si>
  <si>
    <t>Ratio SA arisings (D220/(D220 + D230))</t>
  </si>
  <si>
    <t>Interpolation (average of all reported Qld N120)</t>
  </si>
  <si>
    <t>Subtract 2015-16 NEPM ‘R’ data (NT to SA)</t>
  </si>
  <si>
    <t>New method: total ULAB national market  x SA % = SA generation (assume all ULABs)</t>
  </si>
  <si>
    <t>Subtraction of interstate imports using approximate % splits of D230 in NEPM D waste</t>
  </si>
  <si>
    <t xml:space="preserve">interpolation between years </t>
  </si>
  <si>
    <t>Method steps (default)</t>
  </si>
  <si>
    <t>Adjust gap data R values in relevant collation workbook</t>
  </si>
  <si>
    <r>
      <t>Copy arisings for all wastes, from 2018-19 collation workbook, assuming a default per waste that </t>
    </r>
    <r>
      <rPr>
        <i/>
        <sz val="11"/>
        <color rgb="FF000000"/>
        <rFont val="Calibri"/>
        <family val="2"/>
      </rPr>
      <t>Generation = arisings, apart from the multiple count adjustments for G110, J120</t>
    </r>
    <r>
      <rPr>
        <sz val="11"/>
        <color rgb="FF000000"/>
        <rFont val="Calibri"/>
        <family val="2"/>
      </rPr>
      <t> (K110 not relevant to NSW)</t>
    </r>
  </si>
  <si>
    <t>Apply other corrections that may be year dependant:</t>
  </si>
  <si>
    <r>
      <t>Use NEPM data if it is clear that waste code = waste heading (e.g. A100 ~A, F100 ~F) or a relationship can be readily established (NSW</t>
    </r>
    <r>
      <rPr>
        <sz val="11"/>
        <color rgb="FF000000"/>
        <rFont val="Wingdings"/>
        <charset val="2"/>
      </rPr>
      <t>à</t>
    </r>
    <r>
      <rPr>
        <sz val="11"/>
        <color rgb="FF000000"/>
        <rFont val="Calibri"/>
        <family val="2"/>
      </rPr>
      <t> SA D230 = ~97% D)</t>
    </r>
  </si>
  <si>
    <t>Historically reported Basel data</t>
  </si>
  <si>
    <t>A combination of historically reported Basel data with NEPM data added or subtracted (for major flows).</t>
  </si>
  <si>
    <t>a.</t>
  </si>
  <si>
    <t>b.</t>
  </si>
  <si>
    <t>c.</t>
  </si>
  <si>
    <t>d.</t>
  </si>
  <si>
    <t>e.</t>
  </si>
  <si>
    <t>Manually adjust major interstate imports/exports (for years without interstate data) for the major interstate wastes per jurisdiction as per Table 1: A100, B100, D220, D230, D300, F100, H170, M250)</t>
  </si>
  <si>
    <t>Calculate SPL figure for D110 (where applicable)</t>
  </si>
  <si>
    <t>Calculate PSO figure for J100 (Vic and NSW for applicable years)</t>
  </si>
  <si>
    <t>Back or fore-cast via either population or trend analysis</t>
  </si>
  <si>
    <t>Table 1: Major interstate flows considered (for years without interstate data available in the National Data Collation workbook)</t>
  </si>
  <si>
    <t>Major interstate waste</t>
  </si>
  <si>
    <t>A100 (NSW to Qld)</t>
  </si>
  <si>
    <t>B100 (Vic to NSW)</t>
  </si>
  <si>
    <t>D220 (all to NSW)</t>
  </si>
  <si>
    <t>D230 (NSW to SA)</t>
  </si>
  <si>
    <t>F100 (Vic to NSW)</t>
  </si>
  <si>
    <t>G wastes (in/out NSW)</t>
  </si>
  <si>
    <t>H170 (NSW to Qld)</t>
  </si>
  <si>
    <t>M250 (NSW to Qld)</t>
  </si>
  <si>
    <t>D230 (Tas to SA)</t>
  </si>
  <si>
    <t>D230 (Vic to SA)</t>
  </si>
  <si>
    <t>D220 (Tas/NSW/Vic in/ SA to NSW)</t>
  </si>
  <si>
    <t>R 100 (NT to SA)</t>
  </si>
  <si>
    <t>D220 (Vic to NSW)</t>
  </si>
  <si>
    <t>D300 (Vic to NSW)</t>
  </si>
  <si>
    <t>D220 (Vic to SA)</t>
  </si>
  <si>
    <t>D220 (WA to NSW)</t>
  </si>
  <si>
    <t>Derivation of historical biosolids quantity estimates</t>
  </si>
  <si>
    <t>Population data</t>
  </si>
  <si>
    <t>Used for calculating quantities per capita and for ACT and NT calculations</t>
  </si>
  <si>
    <t>Australia</t>
  </si>
  <si>
    <t>National biosolid data</t>
  </si>
  <si>
    <t>2018-19 data estimate</t>
  </si>
  <si>
    <t>2014-15 data estimate</t>
  </si>
  <si>
    <t>2012-13 data estimate</t>
  </si>
  <si>
    <t xml:space="preserve">Assumptions: </t>
  </si>
  <si>
    <t>The data from the listed source is more comprehensive or accurate than data reported by the jurisdictions</t>
  </si>
  <si>
    <t>Source:</t>
  </si>
  <si>
    <t>ACT biosolids data are incinerated onsite and therefore not relevant to this report</t>
  </si>
  <si>
    <t>Biosolids to landfill are already included in jurisdictional landfill data</t>
  </si>
  <si>
    <t>The proportion of biosolids to landfill is so small that it is immaterial that they are not included in landfill audit data</t>
  </si>
  <si>
    <t>The quantity of biosolids produced per capita is identical in (a) the ACT and NSW, and (b) the NT and WA</t>
  </si>
  <si>
    <t>Contaminated biosolids are most likely to be sent to landfill</t>
  </si>
  <si>
    <t>Average solids content of dewatered biosolids</t>
  </si>
  <si>
    <t>ACT &amp; NSW</t>
  </si>
  <si>
    <t>NT &amp; WA</t>
  </si>
  <si>
    <t>Fraction of production by state, 2016-17</t>
  </si>
  <si>
    <t>Dewatered biosolids produced (tonnes)</t>
  </si>
  <si>
    <t>Proportion contaminated</t>
  </si>
  <si>
    <t>Contaminated dewatered biosolids produced (tonnes)</t>
  </si>
  <si>
    <t>Non-contaminated dewatered biosolids produced (tonnes)</t>
  </si>
  <si>
    <t>Management proportions (all biosolids)</t>
  </si>
  <si>
    <t>Stockpile</t>
  </si>
  <si>
    <t>Agriculture</t>
  </si>
  <si>
    <t>Land rehabilitation</t>
  </si>
  <si>
    <t>Landfill</t>
  </si>
  <si>
    <t>Landscaping (compost)</t>
  </si>
  <si>
    <t>Ocean discharge</t>
  </si>
  <si>
    <t>Checks:</t>
  </si>
  <si>
    <t>Management proportions, non-contaminated biosolids</t>
  </si>
  <si>
    <t>Management of non-contaminated biosolids</t>
  </si>
  <si>
    <t>Management of non contaminated biosolids reclassified to NWR management categories</t>
  </si>
  <si>
    <t>Recycling</t>
  </si>
  <si>
    <t>Energy recovery</t>
  </si>
  <si>
    <t>Other disposal</t>
  </si>
  <si>
    <t>Historical data estimate</t>
  </si>
  <si>
    <t>Contaminated biosolids were sent to landfill in the first instance</t>
  </si>
  <si>
    <t>"Recycling" of non contaminated biosolids</t>
  </si>
  <si>
    <r>
      <rPr>
        <i/>
        <sz val="10"/>
        <color theme="1"/>
        <rFont val="Calibri"/>
        <family val="2"/>
        <scheme val="minor"/>
      </rPr>
      <t xml:space="preserve">Source: </t>
    </r>
    <r>
      <rPr>
        <sz val="10"/>
        <color theme="1"/>
        <rFont val="Calibri"/>
        <family val="2"/>
        <scheme val="minor"/>
      </rPr>
      <t>NWR tool 16-17</t>
    </r>
  </si>
  <si>
    <t>"Other disposal" of non contaminated biosolids</t>
  </si>
  <si>
    <t>Jurisdiction</t>
  </si>
  <si>
    <t>Biosolids, total (t)</t>
  </si>
  <si>
    <t>Biosolids, contaminated (t)</t>
  </si>
  <si>
    <t>M270</t>
  </si>
  <si>
    <t>Historical aluminium production in Australia</t>
  </si>
  <si>
    <t>Raw data</t>
  </si>
  <si>
    <t>Source</t>
  </si>
  <si>
    <r>
      <t xml:space="preserve">Office of the Chief Economist, </t>
    </r>
    <r>
      <rPr>
        <i/>
        <sz val="10"/>
        <color theme="1"/>
        <rFont val="Calibri"/>
        <family val="2"/>
        <scheme val="minor"/>
      </rPr>
      <t>Resources and Energy Quarterly – March 2020</t>
    </r>
    <r>
      <rPr>
        <sz val="11"/>
        <color theme="1"/>
        <rFont val="Calibri"/>
        <family val="2"/>
        <scheme val="minor"/>
      </rPr>
      <t>, worksheet no. 5,</t>
    </r>
    <r>
      <rPr>
        <i/>
        <sz val="10"/>
        <color theme="1"/>
        <rFont val="Calibri"/>
        <family val="2"/>
        <scheme val="minor"/>
      </rPr>
      <t xml:space="preserve"> </t>
    </r>
    <r>
      <rPr>
        <sz val="11"/>
        <color theme="1"/>
        <rFont val="Calibri"/>
        <family val="2"/>
        <scheme val="minor"/>
      </rPr>
      <t>available at https://www.industry.gov.au/data-and-publications/resources-and-energy-quarterly-march-2020</t>
    </r>
  </si>
  <si>
    <t>Annual, Australia-wide</t>
  </si>
  <si>
    <t>2006–07</t>
  </si>
  <si>
    <t>2007–08</t>
  </si>
  <si>
    <t>2008–09</t>
  </si>
  <si>
    <t>2009–10</t>
  </si>
  <si>
    <t>2010–11</t>
  </si>
  <si>
    <t>2011–12</t>
  </si>
  <si>
    <t>2012–13</t>
  </si>
  <si>
    <t>2013–14</t>
  </si>
  <si>
    <t>2014–15</t>
  </si>
  <si>
    <t>2015–16</t>
  </si>
  <si>
    <t>2016–17</t>
  </si>
  <si>
    <t>2017–18</t>
  </si>
  <si>
    <t>2018–19</t>
  </si>
  <si>
    <t>Bauxite</t>
  </si>
  <si>
    <t>Mt</t>
  </si>
  <si>
    <t>Alumina</t>
  </si>
  <si>
    <t>kt</t>
  </si>
  <si>
    <t>Aluminium (ingot metal)</t>
  </si>
  <si>
    <r>
      <t xml:space="preserve">Office of the Chief Economist, </t>
    </r>
    <r>
      <rPr>
        <i/>
        <sz val="10"/>
        <color theme="1"/>
        <rFont val="Calibri"/>
        <family val="2"/>
        <scheme val="minor"/>
      </rPr>
      <t>Resources and Energy Quarterly – March 2020</t>
    </r>
    <r>
      <rPr>
        <sz val="11"/>
        <color theme="1"/>
        <rFont val="Calibri"/>
        <family val="2"/>
        <scheme val="minor"/>
      </rPr>
      <t>, worksheet no. 23,</t>
    </r>
    <r>
      <rPr>
        <i/>
        <sz val="10"/>
        <color theme="1"/>
        <rFont val="Calibri"/>
        <family val="2"/>
        <scheme val="minor"/>
      </rPr>
      <t xml:space="preserve"> </t>
    </r>
    <r>
      <rPr>
        <sz val="11"/>
        <color theme="1"/>
        <rFont val="Calibri"/>
        <family val="2"/>
        <scheme val="minor"/>
      </rPr>
      <t>available at https://www.industry.gov.au/data-and-publications/resources-and-energy-quarterly-march-2020</t>
    </r>
  </si>
  <si>
    <t>Quarterly data</t>
  </si>
  <si>
    <t>Mine (bauxite)</t>
  </si>
  <si>
    <t>Queensland</t>
  </si>
  <si>
    <t>Western Australia</t>
  </si>
  <si>
    <t>Northern Territory</t>
  </si>
  <si>
    <t>Alumina content</t>
  </si>
  <si>
    <t>Smelter and refinery</t>
  </si>
  <si>
    <t>Summary by state</t>
  </si>
  <si>
    <t>t</t>
  </si>
  <si>
    <t>Historical data on Product Stewardship for Waste Oil</t>
  </si>
  <si>
    <t>Product stewardship (oil) benefits</t>
  </si>
  <si>
    <t>Waste oil recorded against benefit payments under the in the Product Stewardship for Oil program</t>
  </si>
  <si>
    <t>Sources</t>
  </si>
  <si>
    <t>Department of the Environment and Water Resources Annual Report 2006-07, table 5, available at http://www.environment.gov.au/archive/about/publications/annual-report/06-07/legislation-oil-recycling.html</t>
  </si>
  <si>
    <t>Department of the Environment, Water, Heritage and the Arts Annual Report 2007-08, pg 125, table 5, available at https://webarchive.nla.gov.au/awa/20191110184543/https://www.environment.gov.au/about-us/publications/annual-report-2007-2008-dewha</t>
  </si>
  <si>
    <t>Department of the Environment, Water, Heritage and the Arts Annual Report 2008-09, pg 132, table 5, available at https://webarchive.nla.gov.au/awa/20191110184511/https://www.environment.gov.au/about-us/publications/annual-report-2008-2009-dewha</t>
  </si>
  <si>
    <t>Department of the Environment, Water, Heritage and the Arts Annual Report 2009-10, pg 159, table 4, available at https://webarchive.nla.gov.au/awa/20191110150748/http://www.environment.gov.au/resource/department-environment-water-heritage-and-arts-annual-report-2009-10</t>
  </si>
  <si>
    <t>Department of Sustainability, Environment, Water, Population and Communities Annual Report 2011–12, pg 194, table 4, available at https://webarchive.nla.gov.au/awa/20191110184408/https://www.environment.gov.au/about-us/publications/annual-report-2010-2011-sewpac</t>
  </si>
  <si>
    <t>Department of Sustainability, Environment, Water, Population and Communities Annual Report 2011–12, pg 115, table 15, available at https://webarchive.nla.gov.au/awa/20191111205215/https://www.environment.gov.au/resource/annual-report-2011-12-department-sustainability-environment-water-population-and</t>
  </si>
  <si>
    <t>Department of Sustainability, Environment, Water, Population and Communities Annual Report  2012–13, pg 270, table 6, available at https://webarchive.nla.gov.au/awa/20191111205143/https://www.environment.gov.au/about-us/publications/annual-report-2012-2013-sewpacsewpachttps://webarchive.nla.gov.au/awa/20191107192630/http://www.environment.gov.au/about-us/publications/annual-report-2013-14-environment</t>
  </si>
  <si>
    <t>Department of the Environment  Annual Report 2013–14, pg 232, table 1, available at https://webarchive.nla.gov.au/awa/20191111205112/https://www.environment.gov.au/about-us/publications/annual-report-2013-14-environment</t>
  </si>
  <si>
    <t>Department of the Environment Annual Report 2014–15, pg 226, table 42, available at https://webarchive.nla.gov.au/awa/20191111204825/https://www.environment.gov.au/annual-report-2014-15</t>
  </si>
  <si>
    <t>Department of the Environment and Energy Annual Report 2015–16, pg 291, table 5.29, available at https://webarchive.nla.gov.au/awa/20191111204702/https://www.environment.gov.au/annual-report-2015-16/home</t>
  </si>
  <si>
    <t>SA D220 &amp; D230 historical derivation</t>
  </si>
  <si>
    <t>SPL generation factor (kg per tonne aluminium produced)</t>
  </si>
  <si>
    <r>
      <t xml:space="preserve">Holywell G, Breault R, Almagi Inc and Rio Tinto Alcan - Research and Development Centre (2013) An Overview of Useful Methods to Treat, Recover, or Recycle Spent Potlining, </t>
    </r>
    <r>
      <rPr>
        <i/>
        <sz val="10"/>
        <color theme="1"/>
        <rFont val="Calibri"/>
        <family val="2"/>
        <scheme val="minor"/>
      </rPr>
      <t>The Journal of The Minerals, Metals &amp; Materials Society</t>
    </r>
    <r>
      <rPr>
        <sz val="10"/>
        <color theme="1"/>
        <rFont val="Calibri"/>
        <family val="2"/>
        <scheme val="minor"/>
      </rPr>
      <t xml:space="preserve"> (JOM), Volume 65, Issue 11, p.1441</t>
    </r>
  </si>
  <si>
    <t>Annual production of aluminium by state (tonnes, year uncertain)</t>
  </si>
  <si>
    <r>
      <t xml:space="preserve">Randell Environmental Consulting and Ascend Waste &amp; Environment (2016) </t>
    </r>
    <r>
      <rPr>
        <i/>
        <sz val="10"/>
        <color theme="1"/>
        <rFont val="Calibri"/>
        <family val="2"/>
        <scheme val="minor"/>
      </rPr>
      <t>Spent Pot Lining Project (Feasibility of an Agreement for Clearing Stockpiles) Draft National Summary Report</t>
    </r>
    <r>
      <rPr>
        <sz val="10"/>
        <color theme="1"/>
        <rFont val="Calibri"/>
        <family val="2"/>
        <scheme val="minor"/>
      </rPr>
      <t xml:space="preserve"> (unpublished), prepared for the Commonwealth Department of the Environment and Energy p.21</t>
    </r>
  </si>
  <si>
    <t>D110 generated (tonnes)</t>
  </si>
  <si>
    <t>NSW oil exemption adjustment (J100)</t>
  </si>
  <si>
    <t>J100 national generation = the tonnages reported via the Product Stewardship for Oil program + J100 generation not recycled</t>
  </si>
  <si>
    <t>J100 from states and territories that do not report management is recycled in the same proportions as states and territories that report management</t>
  </si>
  <si>
    <t>The difference between J100 national generation and J100 generation reported by the states and territories = oil recycled in NSW on exemptions</t>
  </si>
  <si>
    <t>Oil recycled in NSW on exemptions is generated:</t>
  </si>
  <si>
    <t>in NSW &amp;</t>
  </si>
  <si>
    <t>in Victoria</t>
  </si>
  <si>
    <t>J100 generation reported by states and territories that report management</t>
  </si>
  <si>
    <t>J100 generation not recycled by these states</t>
  </si>
  <si>
    <t>J100 generation not recycled</t>
  </si>
  <si>
    <t>J100 national generation</t>
  </si>
  <si>
    <t>kL</t>
  </si>
  <si>
    <t>J100 generation reported by the states and territories</t>
  </si>
  <si>
    <t>J100 generated and recycled in NSW and not reported in state data</t>
  </si>
  <si>
    <t>J100 generated in Vic and recycled in NSW not reported in state data</t>
  </si>
  <si>
    <t>Est. D220 (SA to NSW))</t>
  </si>
  <si>
    <t>Gen = arisings + PSO addition</t>
  </si>
  <si>
    <t>Joe Pickin</t>
  </si>
  <si>
    <t>Geoff Latimer</t>
  </si>
  <si>
    <t>Data in tonnes</t>
  </si>
  <si>
    <t>Main tonnages</t>
  </si>
  <si>
    <t>Contaminated soil</t>
  </si>
  <si>
    <t>Asbestos</t>
  </si>
  <si>
    <t>Reason required</t>
  </si>
  <si>
    <t>D110 is mostly spent potlining waste, a by-product of aluminium smelting. This waste is often missing from tracking system data as it is stored on-site. Waste stored on-site is within the scope of this database.</t>
  </si>
  <si>
    <t>J100 (waste oil) sent to recycling is exempt from tracking in NSW. Some Vic oil has apparently also been sent for processing in NSW without tracking certificates.</t>
  </si>
  <si>
    <t>Method overview</t>
  </si>
  <si>
    <t>Uses aluminium production data multipled by a factor from the literature to estimate D110 generation</t>
  </si>
  <si>
    <t>Uses data from the Product Stewardship for Oil program to augment the data from tracking systems in NSW and Vic</t>
  </si>
  <si>
    <t>NEPM data</t>
  </si>
  <si>
    <t>Inter-jurisdictional flows of hazardous waste</t>
  </si>
  <si>
    <t>Annual reports of the National Environment Protection Council - data reported by states and territories under the National Environment Protection (Movement of Controlled Waste between States and Territories) Measure</t>
  </si>
  <si>
    <t>Purple</t>
  </si>
  <si>
    <t>Aqua</t>
  </si>
  <si>
    <t>Qld forecast using populationadjustment of 2015-16 data</t>
  </si>
  <si>
    <t>Historical interstate allocation of 'D' wastes - key flows</t>
  </si>
  <si>
    <t>NSW to SA by NEPM data/ interstate gap filling</t>
  </si>
  <si>
    <t>SA reported WTC data</t>
  </si>
  <si>
    <t>Vic to SA by NEPM data/ interstate gap-filling</t>
  </si>
  <si>
    <t>Vic to NSW by NEPM data/ interstate gap-filling</t>
  </si>
  <si>
    <t>Note: For Vic and NSW, Total D effectively = D220 + D231</t>
  </si>
  <si>
    <t>NSW reported WTC data</t>
  </si>
  <si>
    <t>ABS 3101, Mar '19, https://www.abs.gov.au/AUSSTATS/abs@.nsf/DetailsPage/3101.0Mar%202019?OpenDocument</t>
  </si>
  <si>
    <t>SA/ NSW reported WTC data</t>
  </si>
  <si>
    <t>Calculations to replace state and territory data for D110 and J100</t>
  </si>
  <si>
    <t>Source: ABS 3101.0</t>
  </si>
  <si>
    <t>PSD 2015 biosolids report</t>
  </si>
  <si>
    <t>PSD 2013 biosolids report</t>
  </si>
  <si>
    <t>Outputs</t>
  </si>
  <si>
    <t>Generation by financial year</t>
  </si>
  <si>
    <t>Calculation worksheets</t>
  </si>
  <si>
    <t>Interstate 'D' wastes</t>
  </si>
  <si>
    <t>Biosolids</t>
  </si>
  <si>
    <t>D110 and J100</t>
  </si>
  <si>
    <t>Historical record of hazardous waste generation by financial year</t>
  </si>
  <si>
    <r>
      <t>Worksheet</t>
    </r>
    <r>
      <rPr>
        <sz val="10"/>
        <color theme="1"/>
        <rFont val="Calibri"/>
        <family val="2"/>
        <scheme val="minor"/>
      </rPr>
      <t/>
    </r>
  </si>
  <si>
    <t>The workbook output - shows reported or estimated tonnes of each NEPM waste type by jurisdiction by financial year, together with summary charts</t>
  </si>
  <si>
    <t>Describes the source of or method for deriving each data point in the output tables</t>
  </si>
  <si>
    <t>Data as reported to the Basel Secretariat by Australia in all relevant years (calendar year reports)</t>
  </si>
  <si>
    <t>Data on interstate flows of hazardous waste (aggregated into the 'NEPM 15' groupings) as reported in the annual reports of the National Environment Protection Council</t>
  </si>
  <si>
    <t>Calculations to estimate interstate flows of particular 'D' wastes from the aggregated 'D' group reported in the NEPM data</t>
  </si>
  <si>
    <t>Calculations to estimate quantities of biosolids based on reports produced for the Australia New Zealand Biosolids Partnership</t>
  </si>
  <si>
    <t>Calculations to estimate quantities of D110 (spent pot liner) and J100 (oils), both of which are not reported comprehensively in the jurisdictional, Basel or NEPM data</t>
  </si>
  <si>
    <t>Data inputs additional to state and territory tracking data</t>
  </si>
  <si>
    <t>This workbook generates and presents historical estimates of hazardous waste generation by financial year, based on:
 - data from national hazardous waste data collations
 - state and territory reports provided under the National Environment Protection (Movement of Controlled Waste between States and Territories) Measure
 - historical submissions to the Basel Secretariat
 - various additional sources. 
The data is presented by financial year for use in the National Waste Database and Hazardous Waste in Australia reports.
National hazardous waste data collations have been produced since 2014-15. These collations are a derived mainly from hazardous waste tracking system  data with various additional sources (landfill reports, some national data sources, NEPM reports from the smaller jurisdictions). Data is adjusted to remove, to the extent possible, multiple counts of the same waste which can occur when waste is moved more than once between premises, or when waste movements across state borders and is included in two data sets.</t>
  </si>
  <si>
    <t>Original record (2018)</t>
  </si>
  <si>
    <t>Dry tonnes of biosolids produced</t>
  </si>
  <si>
    <t>Dark blue</t>
  </si>
  <si>
    <t>Asbestos data from master record created for ASEA</t>
  </si>
  <si>
    <t>Uses the historical record created and maintained for the Asbestos Safety Eradication Agency</t>
  </si>
  <si>
    <t>Register of changes (since v.25)</t>
  </si>
  <si>
    <t>Date</t>
  </si>
  <si>
    <t>Name</t>
  </si>
  <si>
    <t>Change</t>
  </si>
  <si>
    <t>Organisation</t>
  </si>
  <si>
    <t>Blue Environment</t>
  </si>
  <si>
    <t>Added revised 2018-19 data on T140 (tyres) from recent Tyre Stewardship Australia materials flow analysis</t>
  </si>
  <si>
    <t>Revised some tiny negative values with zeroes ('other', SA 2010-11 and Vic 2015-16)</t>
  </si>
  <si>
    <t>2019-20</t>
  </si>
  <si>
    <t>CAGR (whole period)</t>
  </si>
  <si>
    <t>CAGR (since 2014-15)</t>
  </si>
  <si>
    <t>Excluding asbestos and contaminated soil</t>
  </si>
  <si>
    <t>April 2021</t>
  </si>
  <si>
    <t>Ascend Waste &amp; Env.</t>
  </si>
  <si>
    <t>Updated to include 2019-20 data</t>
  </si>
  <si>
    <t>Minor chart amendments</t>
  </si>
  <si>
    <t>NATIONAL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</si>
</sst>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 #,##0.00_);_(* \(#,##0.00\);_(* &quot;-&quot;??_);_(@_)"/>
    <numFmt numFmtId="165" formatCode="_ * #,##0_ ;_ * \-#,##0_ ;_ * &quot;-&quot;_ ;_ @_ "/>
    <numFmt numFmtId="166" formatCode="_ * #,##0.00_ ;_ * \-#,##0.00_ ;_ * &quot;-&quot;??_ ;_ @_ "/>
    <numFmt numFmtId="167" formatCode="d/m/yy;@"/>
    <numFmt numFmtId="168" formatCode="0.0"/>
    <numFmt numFmtId="169" formatCode="0.000"/>
    <numFmt numFmtId="170" formatCode="_(* #,##0_);_(* \(#,##0\);_(* &quot;-&quot;??_);_(@_)"/>
    <numFmt numFmtId="171" formatCode="&quot;$&quot;#,##0"/>
    <numFmt numFmtId="172" formatCode="d/mm/yy;@"/>
    <numFmt numFmtId="173" formatCode="#,##0_ ;\-#,##0\ "/>
    <numFmt numFmtId="174" formatCode="0.0%"/>
    <numFmt numFmtId="175" formatCode="mmm\–yy"/>
  </numFmts>
  <fonts count="111">
    <font>
      <sz val="11"/>
      <color theme="1"/>
      <name val="Calibri"/>
      <family val="2"/>
      <scheme val="minor"/>
    </font>
    <font>
      <sz val="10"/>
      <color theme="1"/>
      <name val="Calibri"/>
      <family val="2"/>
      <scheme val="minor"/>
    </font>
    <font>
      <sz val="10"/>
      <color theme="1"/>
      <name val="Calibri"/>
      <family val="2"/>
      <scheme val="minor"/>
    </font>
    <font>
      <sz val="10"/>
      <name val="Arial"/>
      <family val="2"/>
    </font>
    <font>
      <sz val="10"/>
      <name val="Arial"/>
      <family val="2"/>
    </font>
    <font>
      <u/>
      <sz val="11"/>
      <color rgb="FF0000FF"/>
      <name val="Calibri"/>
      <family val="2"/>
      <scheme val="minor"/>
    </font>
    <font>
      <u/>
      <sz val="11"/>
      <color theme="10"/>
      <name val="Calibri"/>
      <family val="2"/>
      <scheme val="minor"/>
    </font>
    <font>
      <b/>
      <sz val="10"/>
      <color theme="1"/>
      <name val="Calibri"/>
      <family val="2"/>
      <scheme val="minor"/>
    </font>
    <font>
      <sz val="10"/>
      <name val="Calibri"/>
      <family val="2"/>
      <scheme val="minor"/>
    </font>
    <font>
      <sz val="12"/>
      <color theme="1"/>
      <name val="Calibri"/>
      <family val="2"/>
      <scheme val="minor"/>
    </font>
    <font>
      <b/>
      <sz val="14"/>
      <name val="Calibri"/>
      <family val="2"/>
      <scheme val="minor"/>
    </font>
    <font>
      <b/>
      <sz val="14"/>
      <color theme="0"/>
      <name val="Calibri"/>
      <family val="2"/>
      <scheme val="minor"/>
    </font>
    <font>
      <b/>
      <sz val="10"/>
      <name val="Calibri"/>
      <family val="2"/>
      <scheme val="minor"/>
    </font>
    <font>
      <b/>
      <sz val="14"/>
      <color theme="1"/>
      <name val="Calibri"/>
      <family val="2"/>
      <scheme val="minor"/>
    </font>
    <font>
      <b/>
      <sz val="12"/>
      <color theme="1"/>
      <name val="Calibri"/>
      <family val="2"/>
      <scheme val="minor"/>
    </font>
    <font>
      <sz val="10"/>
      <color rgb="FF00B050"/>
      <name val="Calibri"/>
      <family val="2"/>
      <scheme val="minor"/>
    </font>
    <font>
      <i/>
      <sz val="10"/>
      <color theme="1"/>
      <name val="Calibri"/>
      <family val="2"/>
      <scheme val="minor"/>
    </font>
    <font>
      <b/>
      <sz val="12"/>
      <color theme="0"/>
      <name val="Calibri"/>
      <family val="2"/>
      <scheme val="minor"/>
    </font>
    <font>
      <sz val="10"/>
      <color rgb="FFFF0000"/>
      <name val="Calibri"/>
      <family val="2"/>
      <scheme val="minor"/>
    </font>
    <font>
      <sz val="11"/>
      <color theme="1"/>
      <name val="Calibri"/>
      <family val="2"/>
      <scheme val="minor"/>
    </font>
    <font>
      <u/>
      <sz val="7.7"/>
      <color rgb="FF0000FF"/>
      <name val="Calibri"/>
      <family val="2"/>
    </font>
    <font>
      <u/>
      <sz val="11"/>
      <color theme="10"/>
      <name val="Calibri"/>
      <family val="2"/>
    </font>
    <font>
      <sz val="10"/>
      <color theme="1"/>
      <name val="Calibri"/>
      <family val="2"/>
    </font>
    <font>
      <sz val="12"/>
      <name val="Arial"/>
      <family val="2"/>
    </font>
    <font>
      <b/>
      <sz val="10"/>
      <color rgb="FF000000"/>
      <name val="Calibri"/>
      <family val="2"/>
    </font>
    <font>
      <sz val="11"/>
      <color indexed="8"/>
      <name val="Calibri"/>
      <family val="2"/>
      <scheme val="minor"/>
    </font>
    <font>
      <sz val="10"/>
      <name val="Arial"/>
      <family val="2"/>
    </font>
    <font>
      <i/>
      <sz val="10"/>
      <color theme="1"/>
      <name val="Calibri"/>
      <family val="2"/>
    </font>
    <font>
      <sz val="14"/>
      <color theme="1"/>
      <name val="Calibri"/>
      <family val="2"/>
      <scheme val="minor"/>
    </font>
    <font>
      <sz val="10"/>
      <name val="Arial"/>
      <family val="2"/>
    </font>
    <font>
      <b/>
      <sz val="14"/>
      <color rgb="FF000000"/>
      <name val="Calibri"/>
      <family val="2"/>
    </font>
    <font>
      <sz val="10"/>
      <color rgb="FF0000FF"/>
      <name val="Calibri"/>
      <family val="2"/>
      <scheme val="minor"/>
    </font>
    <font>
      <b/>
      <i/>
      <sz val="10"/>
      <color theme="0"/>
      <name val="Calibri"/>
      <family val="2"/>
      <scheme val="minor"/>
    </font>
    <font>
      <sz val="10"/>
      <color theme="9" tint="-0.249977111117893"/>
      <name val="Calibri"/>
      <family val="2"/>
      <scheme val="minor"/>
    </font>
    <font>
      <sz val="10"/>
      <color theme="7" tint="0.39997558519241921"/>
      <name val="Calibri"/>
      <family val="2"/>
      <scheme val="minor"/>
    </font>
    <font>
      <sz val="10"/>
      <color rgb="FF7030A0"/>
      <name val="Calibri"/>
      <family val="2"/>
      <scheme val="minor"/>
    </font>
    <font>
      <sz val="10"/>
      <color theme="0" tint="-0.499984740745262"/>
      <name val="Calibri"/>
      <family val="2"/>
      <scheme val="minor"/>
    </font>
    <font>
      <i/>
      <sz val="10"/>
      <color theme="0" tint="-0.499984740745262"/>
      <name val="Calibri"/>
      <family val="2"/>
      <scheme val="minor"/>
    </font>
    <font>
      <u/>
      <sz val="10"/>
      <color theme="0" tint="-0.499984740745262"/>
      <name val="Calibri"/>
      <family val="2"/>
      <scheme val="minor"/>
    </font>
    <font>
      <b/>
      <sz val="10"/>
      <color theme="0" tint="-0.499984740745262"/>
      <name val="Calibri"/>
      <family val="2"/>
      <scheme val="minor"/>
    </font>
    <font>
      <b/>
      <sz val="9"/>
      <color rgb="FF000000"/>
      <name val="Tahoma"/>
      <family val="2"/>
    </font>
    <font>
      <sz val="9"/>
      <color rgb="FF000000"/>
      <name val="Tahoma"/>
      <family val="2"/>
    </font>
    <font>
      <b/>
      <sz val="14"/>
      <color theme="0" tint="-4.9989318521683403E-2"/>
      <name val="Calibri"/>
      <family val="2"/>
      <scheme val="minor"/>
    </font>
    <font>
      <b/>
      <sz val="16"/>
      <color theme="0" tint="-4.9989318521683403E-2"/>
      <name val="Calibri"/>
      <family val="2"/>
      <scheme val="minor"/>
    </font>
    <font>
      <b/>
      <sz val="11"/>
      <color theme="0"/>
      <name val="Calibri"/>
      <family val="2"/>
      <scheme val="minor"/>
    </font>
    <font>
      <sz val="11"/>
      <color theme="0"/>
      <name val="Calibri"/>
      <family val="2"/>
      <scheme val="minor"/>
    </font>
    <font>
      <b/>
      <sz val="12"/>
      <name val="Calibri"/>
      <family val="2"/>
      <scheme val="minor"/>
    </font>
    <font>
      <sz val="10"/>
      <name val="Wingdings"/>
      <charset val="2"/>
    </font>
    <font>
      <b/>
      <sz val="9"/>
      <name val="Calibri"/>
      <family val="2"/>
      <scheme val="minor"/>
    </font>
    <font>
      <sz val="9"/>
      <name val="Calibri"/>
      <family val="2"/>
      <scheme val="minor"/>
    </font>
    <font>
      <b/>
      <sz val="10"/>
      <color rgb="FF00B050"/>
      <name val="Calibri"/>
      <family val="2"/>
      <scheme val="minor"/>
    </font>
    <font>
      <b/>
      <sz val="10"/>
      <color theme="0"/>
      <name val="Calibri"/>
      <family val="2"/>
      <scheme val="minor"/>
    </font>
    <font>
      <b/>
      <sz val="12"/>
      <color theme="4" tint="0.59999389629810485"/>
      <name val="Calibri"/>
      <family val="2"/>
      <scheme val="minor"/>
    </font>
    <font>
      <sz val="11"/>
      <color rgb="FFFF0000"/>
      <name val="Calibri"/>
      <family val="2"/>
      <scheme val="minor"/>
    </font>
    <font>
      <sz val="14"/>
      <color theme="0"/>
      <name val="Calibri"/>
      <family val="2"/>
      <scheme val="minor"/>
    </font>
    <font>
      <u/>
      <sz val="10"/>
      <color theme="10"/>
      <name val="Calibri"/>
      <family val="2"/>
      <scheme val="minor"/>
    </font>
    <font>
      <sz val="11"/>
      <name val="Calibri"/>
      <family val="2"/>
      <scheme val="minor"/>
    </font>
    <font>
      <b/>
      <sz val="10"/>
      <color rgb="FF000000"/>
      <name val="Tahoma"/>
      <family val="2"/>
    </font>
    <font>
      <sz val="10"/>
      <color rgb="FF000000"/>
      <name val="Tahoma"/>
      <family val="2"/>
    </font>
    <font>
      <sz val="10"/>
      <color rgb="FF000000"/>
      <name val="Calibri"/>
      <family val="2"/>
    </font>
    <font>
      <sz val="10"/>
      <color rgb="FF000000"/>
      <name val="Calibri"/>
      <family val="2"/>
      <scheme val="minor"/>
    </font>
    <font>
      <sz val="9"/>
      <color theme="1"/>
      <name val="Calibri"/>
      <family val="2"/>
    </font>
    <font>
      <sz val="9"/>
      <color rgb="FF000000"/>
      <name val="Calibri"/>
      <family val="2"/>
    </font>
    <font>
      <sz val="8"/>
      <name val="Calibri"/>
      <family val="2"/>
      <scheme val="minor"/>
    </font>
    <font>
      <sz val="10"/>
      <color theme="0" tint="-0.499984740745262"/>
      <name val="Calibri"/>
      <family val="2"/>
    </font>
    <font>
      <sz val="10"/>
      <color rgb="FF63BE7B"/>
      <name val="Calibri"/>
      <family val="2"/>
    </font>
    <font>
      <b/>
      <sz val="10"/>
      <color theme="0" tint="-0.499984740745262"/>
      <name val="Calibri"/>
      <family val="2"/>
    </font>
    <font>
      <sz val="9"/>
      <color theme="1"/>
      <name val="Calibri"/>
      <family val="2"/>
      <scheme val="minor"/>
    </font>
    <font>
      <b/>
      <sz val="9"/>
      <color theme="1"/>
      <name val="Calibri"/>
      <family val="2"/>
      <scheme val="minor"/>
    </font>
    <font>
      <sz val="10"/>
      <color rgb="FFFF0000"/>
      <name val="Calibri"/>
      <family val="2"/>
    </font>
    <font>
      <sz val="8"/>
      <color rgb="FFFF0000"/>
      <name val="Calibri"/>
      <family val="2"/>
      <scheme val="minor"/>
    </font>
    <font>
      <sz val="8"/>
      <color theme="1"/>
      <name val="Wingdings"/>
      <charset val="2"/>
    </font>
    <font>
      <b/>
      <sz val="10"/>
      <color rgb="FFFFFFFF"/>
      <name val="Calibri"/>
      <family val="2"/>
      <scheme val="minor"/>
    </font>
    <font>
      <b/>
      <vertAlign val="superscript"/>
      <sz val="10"/>
      <color rgb="FFFFFFFF"/>
      <name val="Calibri (Body)"/>
    </font>
    <font>
      <sz val="10"/>
      <color theme="1"/>
      <name val="Wingdings"/>
      <charset val="2"/>
    </font>
    <font>
      <b/>
      <sz val="10"/>
      <color rgb="FFFF0000"/>
      <name val="Calibri"/>
      <family val="2"/>
      <scheme val="minor"/>
    </font>
    <font>
      <sz val="10"/>
      <color theme="1"/>
      <name val="Calibri (Body)"/>
    </font>
    <font>
      <sz val="10"/>
      <color theme="9" tint="-0.249977111117893"/>
      <name val="Calibri"/>
      <family val="2"/>
    </font>
    <font>
      <sz val="10"/>
      <color theme="9" tint="-0.249977111117893"/>
      <name val="Calibri (Body)"/>
    </font>
    <font>
      <sz val="10"/>
      <color rgb="FF000000"/>
      <name val="+mn-lt"/>
      <charset val="1"/>
    </font>
    <font>
      <b/>
      <sz val="10"/>
      <color rgb="FF000000"/>
      <name val="Calibri"/>
      <family val="2"/>
      <scheme val="minor"/>
    </font>
    <font>
      <sz val="11"/>
      <color rgb="FF000000"/>
      <name val="Calibri"/>
      <family val="2"/>
    </font>
    <font>
      <i/>
      <sz val="11"/>
      <color rgb="FF000000"/>
      <name val="Calibri"/>
      <family val="2"/>
    </font>
    <font>
      <sz val="11"/>
      <color rgb="FF000000"/>
      <name val="Wingdings"/>
      <charset val="2"/>
    </font>
    <font>
      <sz val="12"/>
      <color theme="0"/>
      <name val="Calibri"/>
      <family val="2"/>
      <scheme val="minor"/>
    </font>
    <font>
      <b/>
      <sz val="16"/>
      <color theme="0"/>
      <name val="Calibri"/>
      <family val="2"/>
      <scheme val="minor"/>
    </font>
    <font>
      <sz val="18"/>
      <color theme="1"/>
      <name val="Calibri"/>
      <family val="2"/>
      <scheme val="minor"/>
    </font>
    <font>
      <b/>
      <sz val="18"/>
      <color theme="1"/>
      <name val="Calibri"/>
      <family val="2"/>
      <scheme val="minor"/>
    </font>
    <font>
      <i/>
      <sz val="10"/>
      <color theme="0" tint="-0.249977111117893"/>
      <name val="Calibri"/>
      <family val="2"/>
      <scheme val="minor"/>
    </font>
    <font>
      <sz val="10"/>
      <color theme="5" tint="-0.249977111117893"/>
      <name val="Calibri"/>
      <family val="2"/>
      <scheme val="minor"/>
    </font>
    <font>
      <sz val="10"/>
      <color rgb="FF0070C0"/>
      <name val="Calibri"/>
      <family val="2"/>
      <scheme val="minor"/>
    </font>
    <font>
      <i/>
      <sz val="10"/>
      <color theme="0" tint="-0.499984740745262"/>
      <name val="Calibri (Body)"/>
    </font>
    <font>
      <sz val="12"/>
      <name val="Calibri"/>
      <family val="2"/>
      <scheme val="minor"/>
    </font>
    <font>
      <b/>
      <sz val="8"/>
      <name val="Verdana"/>
      <family val="2"/>
    </font>
    <font>
      <b/>
      <sz val="10"/>
      <color theme="0"/>
      <name val="Calibri"/>
      <family val="2"/>
    </font>
    <font>
      <b/>
      <sz val="10"/>
      <color theme="1"/>
      <name val="Calibri"/>
      <family val="2"/>
    </font>
    <font>
      <sz val="10"/>
      <color theme="0" tint="-0.34998626667073579"/>
      <name val="Calibri"/>
      <family val="2"/>
    </font>
    <font>
      <sz val="10"/>
      <color theme="8"/>
      <name val="Calibri"/>
      <family val="2"/>
      <scheme val="minor"/>
    </font>
    <font>
      <sz val="10"/>
      <color theme="7"/>
      <name val="Calibri"/>
      <family val="2"/>
      <scheme val="minor"/>
    </font>
    <font>
      <sz val="10"/>
      <color theme="7"/>
      <name val="Calibri"/>
      <family val="2"/>
    </font>
    <font>
      <sz val="10"/>
      <color theme="7"/>
      <name val="Calibri (Body)"/>
    </font>
    <font>
      <sz val="10"/>
      <color theme="8"/>
      <name val="Calibri"/>
      <family val="2"/>
    </font>
    <font>
      <sz val="10"/>
      <color theme="0" tint="-0.499984740745262"/>
      <name val="Calibri (Body)"/>
    </font>
    <font>
      <sz val="10"/>
      <color rgb="FF00B050"/>
      <name val="Calibri"/>
      <family val="2"/>
    </font>
    <font>
      <sz val="10"/>
      <color theme="0" tint="-0.14999847407452621"/>
      <name val="Calibri"/>
      <family val="2"/>
    </font>
    <font>
      <b/>
      <sz val="12"/>
      <color theme="0"/>
      <name val="Calibri"/>
      <family val="2"/>
    </font>
    <font>
      <b/>
      <sz val="10"/>
      <color theme="1"/>
      <name val="Calibri (Body)"/>
    </font>
    <font>
      <b/>
      <sz val="9"/>
      <color indexed="81"/>
      <name val="Tahoma"/>
      <family val="2"/>
    </font>
    <font>
      <sz val="9"/>
      <color indexed="81"/>
      <name val="Tahoma"/>
      <family val="2"/>
    </font>
    <font>
      <sz val="10"/>
      <color rgb="FF002060"/>
      <name val="Calibri"/>
      <family val="2"/>
      <scheme val="minor"/>
    </font>
    <font>
      <sz val="10"/>
      <color rgb="FF002060"/>
      <name val="Calibri"/>
      <family val="2"/>
    </font>
  </fonts>
  <fills count="36">
    <fill>
      <patternFill patternType="none"/>
    </fill>
    <fill>
      <patternFill patternType="gray125"/>
    </fill>
    <fill>
      <patternFill patternType="solid">
        <fgColor theme="8" tint="0.79998168889431442"/>
        <bgColor indexed="64"/>
      </patternFill>
    </fill>
    <fill>
      <patternFill patternType="solid">
        <fgColor theme="1"/>
        <bgColor indexed="64"/>
      </patternFill>
    </fill>
    <fill>
      <patternFill patternType="solid">
        <fgColor rgb="FFFFCC99"/>
        <bgColor indexed="64"/>
      </patternFill>
    </fill>
    <fill>
      <patternFill patternType="solid">
        <fgColor rgb="FFFF0000"/>
        <bgColor indexed="64"/>
      </patternFill>
    </fill>
    <fill>
      <patternFill patternType="solid">
        <fgColor rgb="FF002060"/>
        <bgColor indexed="64"/>
      </patternFill>
    </fill>
    <fill>
      <patternFill patternType="solid">
        <fgColor rgb="FF00B050"/>
        <bgColor indexed="64"/>
      </patternFill>
    </fill>
    <fill>
      <patternFill patternType="solid">
        <fgColor rgb="FFFFC000"/>
        <bgColor indexed="64"/>
      </patternFill>
    </fill>
    <fill>
      <patternFill patternType="solid">
        <fgColor rgb="FF00B0F0"/>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4" tint="0.79998168889431442"/>
        <bgColor rgb="FF000000"/>
      </patternFill>
    </fill>
    <fill>
      <patternFill patternType="solid">
        <fgColor theme="3" tint="0.79998168889431442"/>
        <bgColor rgb="FF000000"/>
      </patternFill>
    </fill>
    <fill>
      <patternFill patternType="solid">
        <fgColor theme="6" tint="0.59999389629810485"/>
        <bgColor indexed="64"/>
      </patternFill>
    </fill>
    <fill>
      <patternFill patternType="solid">
        <fgColor theme="4" tint="0.59999389629810485"/>
        <bgColor indexed="64"/>
      </patternFill>
    </fill>
    <fill>
      <patternFill patternType="solid">
        <fgColor rgb="FF963634"/>
        <bgColor indexed="64"/>
      </patternFill>
    </fill>
    <fill>
      <patternFill patternType="solid">
        <fgColor theme="4" tint="0.59999389629810485"/>
        <bgColor rgb="FF000000"/>
      </patternFill>
    </fill>
    <fill>
      <patternFill patternType="solid">
        <fgColor theme="6" tint="0.59999389629810485"/>
        <bgColor rgb="FF000000"/>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3"/>
        <bgColor indexed="64"/>
      </patternFill>
    </fill>
    <fill>
      <patternFill patternType="solid">
        <fgColor indexed="41"/>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92D050"/>
        <bgColor indexed="64"/>
      </patternFill>
    </fill>
    <fill>
      <patternFill patternType="solid">
        <fgColor theme="7" tint="0.39997558519241921"/>
        <bgColor indexed="64"/>
      </patternFill>
    </fill>
    <fill>
      <patternFill patternType="solid">
        <fgColor rgb="FFFFFF00"/>
        <bgColor indexed="64"/>
      </patternFill>
    </fill>
    <fill>
      <patternFill patternType="solid">
        <fgColor theme="0" tint="-0.249977111117893"/>
        <bgColor indexed="64"/>
      </patternFill>
    </fill>
    <fill>
      <patternFill patternType="solid">
        <fgColor rgb="FFADB3CF"/>
        <bgColor indexed="64"/>
      </patternFill>
    </fill>
    <fill>
      <patternFill patternType="solid">
        <fgColor theme="0" tint="-0.14999847407452621"/>
        <bgColor indexed="64"/>
      </patternFill>
    </fill>
    <fill>
      <patternFill patternType="solid">
        <fgColor theme="5" tint="-0.249977111117893"/>
        <bgColor indexed="64"/>
      </patternFill>
    </fill>
    <fill>
      <patternFill patternType="solid">
        <fgColor theme="3" tint="-0.249977111117893"/>
        <bgColor indexed="64"/>
      </patternFill>
    </fill>
    <fill>
      <patternFill patternType="solid">
        <fgColor theme="6" tint="0.79998168889431442"/>
        <bgColor indexed="64"/>
      </patternFill>
    </fill>
    <fill>
      <patternFill patternType="solid">
        <fgColor theme="0" tint="-0.14999847407452621"/>
        <bgColor rgb="FF000000"/>
      </patternFill>
    </fill>
    <fill>
      <patternFill patternType="solid">
        <fgColor theme="9" tint="-0.499984740745262"/>
        <bgColor indexed="64"/>
      </patternFill>
    </fill>
  </fills>
  <borders count="60">
    <border>
      <left/>
      <right/>
      <top/>
      <bottom/>
      <diagonal/>
    </border>
    <border>
      <left style="thin">
        <color rgb="FF0000FF"/>
      </left>
      <right style="thin">
        <color rgb="FF0000FF"/>
      </right>
      <top style="thin">
        <color rgb="FF0000FF"/>
      </top>
      <bottom/>
      <diagonal/>
    </border>
    <border>
      <left style="thin">
        <color rgb="FF0000FF"/>
      </left>
      <right style="thin">
        <color rgb="FF0000FF"/>
      </right>
      <top/>
      <bottom/>
      <diagonal/>
    </border>
    <border>
      <left style="thin">
        <color rgb="FF0000FF"/>
      </left>
      <right style="thin">
        <color rgb="FF0000FF"/>
      </right>
      <top/>
      <bottom style="thin">
        <color rgb="FF0000FF"/>
      </bottom>
      <diagonal/>
    </border>
    <border>
      <left style="thin">
        <color rgb="FF0000FF"/>
      </left>
      <right/>
      <top style="thin">
        <color rgb="FF0000FF"/>
      </top>
      <bottom/>
      <diagonal/>
    </border>
    <border>
      <left/>
      <right/>
      <top style="thin">
        <color rgb="FF0000FF"/>
      </top>
      <bottom/>
      <diagonal/>
    </border>
    <border>
      <left/>
      <right style="thin">
        <color rgb="FF0000FF"/>
      </right>
      <top style="thin">
        <color rgb="FF0000FF"/>
      </top>
      <bottom/>
      <diagonal/>
    </border>
    <border>
      <left style="thin">
        <color rgb="FF0000FF"/>
      </left>
      <right/>
      <top/>
      <bottom/>
      <diagonal/>
    </border>
    <border>
      <left/>
      <right style="thin">
        <color rgb="FF0000FF"/>
      </right>
      <top/>
      <bottom/>
      <diagonal/>
    </border>
    <border>
      <left style="thin">
        <color rgb="FF0000FF"/>
      </left>
      <right/>
      <top/>
      <bottom style="thin">
        <color rgb="FF0000FF"/>
      </bottom>
      <diagonal/>
    </border>
    <border>
      <left/>
      <right/>
      <top/>
      <bottom style="thin">
        <color rgb="FF0000FF"/>
      </bottom>
      <diagonal/>
    </border>
    <border>
      <left/>
      <right style="thin">
        <color rgb="FF0000FF"/>
      </right>
      <top/>
      <bottom style="thin">
        <color rgb="FF0000FF"/>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auto="1"/>
      </left>
      <right style="thin">
        <color auto="1"/>
      </right>
      <top/>
      <bottom style="thin">
        <color auto="1"/>
      </bottom>
      <diagonal/>
    </border>
    <border>
      <left/>
      <right/>
      <top style="thin">
        <color indexed="64"/>
      </top>
      <bottom style="thin">
        <color indexed="64"/>
      </bottom>
      <diagonal/>
    </border>
    <border>
      <left/>
      <right/>
      <top/>
      <bottom style="thin">
        <color theme="0" tint="-0.14996795556505021"/>
      </bottom>
      <diagonal/>
    </border>
    <border>
      <left style="medium">
        <color rgb="FFB4C6E7"/>
      </left>
      <right style="medium">
        <color rgb="FFB4C6E7"/>
      </right>
      <top style="medium">
        <color rgb="FFB4C6E7"/>
      </top>
      <bottom style="medium">
        <color rgb="FFB4C6E7"/>
      </bottom>
      <diagonal/>
    </border>
    <border>
      <left/>
      <right style="medium">
        <color rgb="FFB4C6E7"/>
      </right>
      <top style="medium">
        <color rgb="FFB4C6E7"/>
      </top>
      <bottom style="medium">
        <color rgb="FFB4C6E7"/>
      </bottom>
      <diagonal/>
    </border>
    <border>
      <left style="medium">
        <color rgb="FFB4C6E7"/>
      </left>
      <right style="medium">
        <color rgb="FFB4C6E7"/>
      </right>
      <top/>
      <bottom style="medium">
        <color rgb="FFB4C6E7"/>
      </bottom>
      <diagonal/>
    </border>
    <border>
      <left/>
      <right style="medium">
        <color rgb="FFB4C6E7"/>
      </right>
      <top/>
      <bottom style="medium">
        <color rgb="FFB4C6E7"/>
      </bottom>
      <diagonal/>
    </border>
    <border>
      <left style="medium">
        <color rgb="FFB4C6E7"/>
      </left>
      <right/>
      <top style="medium">
        <color rgb="FFB4C6E7"/>
      </top>
      <bottom style="medium">
        <color rgb="FFB4C6E7"/>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rgb="FFC00000"/>
      </left>
      <right style="thin">
        <color rgb="FFC00000"/>
      </right>
      <top style="thin">
        <color rgb="FFC00000"/>
      </top>
      <bottom style="thin">
        <color rgb="FFC00000"/>
      </bottom>
      <diagonal/>
    </border>
    <border>
      <left style="thin">
        <color rgb="FFC00000"/>
      </left>
      <right/>
      <top style="thin">
        <color rgb="FFC00000"/>
      </top>
      <bottom style="thin">
        <color rgb="FFC00000"/>
      </bottom>
      <diagonal/>
    </border>
    <border>
      <left/>
      <right style="thin">
        <color rgb="FFC00000"/>
      </right>
      <top style="thin">
        <color rgb="FFC00000"/>
      </top>
      <bottom style="thin">
        <color rgb="FFC00000"/>
      </bottom>
      <diagonal/>
    </border>
  </borders>
  <cellStyleXfs count="41">
    <xf numFmtId="0" fontId="0" fillId="0" borderId="0"/>
    <xf numFmtId="165" fontId="4" fillId="0" borderId="0" applyFont="0" applyFill="0" applyBorder="0" applyAlignment="0" applyProtection="0"/>
    <xf numFmtId="0" fontId="5" fillId="0" borderId="0" applyNumberFormat="0" applyFill="0" applyBorder="0" applyAlignment="0" applyProtection="0"/>
    <xf numFmtId="0" fontId="3" fillId="0" borderId="0"/>
    <xf numFmtId="165" fontId="3" fillId="0" borderId="0" applyFont="0" applyFill="0" applyBorder="0" applyAlignment="0" applyProtection="0"/>
    <xf numFmtId="0" fontId="19" fillId="0" borderId="0"/>
    <xf numFmtId="0" fontId="3" fillId="0" borderId="0"/>
    <xf numFmtId="0" fontId="3" fillId="0" borderId="0"/>
    <xf numFmtId="0" fontId="20" fillId="0" borderId="0" applyNumberFormat="0" applyFill="0" applyBorder="0" applyAlignment="0" applyProtection="0">
      <alignment vertical="top"/>
      <protection locked="0"/>
    </xf>
    <xf numFmtId="166" fontId="3" fillId="0" borderId="0" applyFont="0" applyFill="0" applyBorder="0" applyAlignment="0" applyProtection="0"/>
    <xf numFmtId="0" fontId="6" fillId="0" borderId="0" applyNumberFormat="0" applyFill="0" applyBorder="0" applyAlignment="0" applyProtection="0"/>
    <xf numFmtId="0" fontId="3" fillId="0" borderId="0"/>
    <xf numFmtId="0" fontId="19" fillId="0" borderId="0"/>
    <xf numFmtId="0" fontId="3" fillId="0" borderId="0"/>
    <xf numFmtId="0" fontId="21" fillId="0" borderId="0" applyNumberFormat="0" applyFill="0" applyBorder="0" applyAlignment="0" applyProtection="0">
      <alignment vertical="top"/>
      <protection locked="0"/>
    </xf>
    <xf numFmtId="0" fontId="1" fillId="0" borderId="0"/>
    <xf numFmtId="0" fontId="1" fillId="0" borderId="0"/>
    <xf numFmtId="0" fontId="23" fillId="0" borderId="0"/>
    <xf numFmtId="0" fontId="19" fillId="0" borderId="0"/>
    <xf numFmtId="0" fontId="25" fillId="0" borderId="0"/>
    <xf numFmtId="9" fontId="25" fillId="0" borderId="0" applyFont="0" applyFill="0" applyBorder="0" applyAlignment="0" applyProtection="0"/>
    <xf numFmtId="0" fontId="26" fillId="0" borderId="0"/>
    <xf numFmtId="0" fontId="29" fillId="0" borderId="0"/>
    <xf numFmtId="0" fontId="3" fillId="0" borderId="0"/>
    <xf numFmtId="0" fontId="19" fillId="0" borderId="0"/>
    <xf numFmtId="9" fontId="19" fillId="0" borderId="0" applyFont="0" applyFill="0" applyBorder="0" applyAlignment="0" applyProtection="0"/>
    <xf numFmtId="0" fontId="3" fillId="0" borderId="0"/>
    <xf numFmtId="0" fontId="9" fillId="0" borderId="0"/>
    <xf numFmtId="9" fontId="9" fillId="0" borderId="0" applyFont="0" applyFill="0" applyBorder="0" applyAlignment="0" applyProtection="0"/>
    <xf numFmtId="164" fontId="9" fillId="0" borderId="0" applyFont="0" applyFill="0" applyBorder="0" applyAlignment="0" applyProtection="0"/>
    <xf numFmtId="164" fontId="19" fillId="0" borderId="0" applyFont="0" applyFill="0" applyBorder="0" applyAlignment="0" applyProtection="0"/>
    <xf numFmtId="0" fontId="1" fillId="0" borderId="0"/>
    <xf numFmtId="0" fontId="19" fillId="0" borderId="0"/>
    <xf numFmtId="0" fontId="55" fillId="0" borderId="0" applyNumberFormat="0" applyFill="0" applyBorder="0" applyAlignment="0" applyProtection="0"/>
    <xf numFmtId="3" fontId="8" fillId="19" borderId="0">
      <alignment horizontal="right"/>
    </xf>
    <xf numFmtId="171" fontId="8" fillId="19" borderId="0">
      <alignment horizontal="right"/>
    </xf>
    <xf numFmtId="171" fontId="15" fillId="0" borderId="0">
      <alignment horizontal="right"/>
    </xf>
    <xf numFmtId="3" fontId="15" fillId="0" borderId="0">
      <alignment horizontal="right"/>
    </xf>
    <xf numFmtId="0" fontId="61" fillId="0" borderId="0"/>
    <xf numFmtId="164" fontId="61" fillId="0" borderId="0" applyFont="0" applyFill="0" applyBorder="0" applyAlignment="0" applyProtection="0"/>
    <xf numFmtId="0" fontId="36" fillId="19" borderId="0">
      <alignment horizontal="right"/>
    </xf>
  </cellStyleXfs>
  <cellXfs count="756">
    <xf numFmtId="0" fontId="0" fillId="0" borderId="0" xfId="0"/>
    <xf numFmtId="3" fontId="2" fillId="0" borderId="0" xfId="0" applyNumberFormat="1" applyFont="1" applyFill="1" applyBorder="1" applyAlignment="1" applyProtection="1">
      <alignment horizontal="right" vertical="center"/>
    </xf>
    <xf numFmtId="0" fontId="11" fillId="3" borderId="0" xfId="0" applyFont="1" applyFill="1"/>
    <xf numFmtId="0" fontId="1" fillId="11" borderId="0" xfId="0" applyFont="1" applyFill="1"/>
    <xf numFmtId="167" fontId="8" fillId="11" borderId="0" xfId="0" applyNumberFormat="1" applyFont="1" applyFill="1" applyBorder="1" applyAlignment="1">
      <alignment horizontal="center"/>
    </xf>
    <xf numFmtId="0" fontId="24" fillId="12" borderId="0" xfId="0" applyFont="1" applyFill="1" applyBorder="1" applyAlignment="1">
      <alignment horizontal="left"/>
    </xf>
    <xf numFmtId="0" fontId="17" fillId="11" borderId="0" xfId="0" applyFont="1" applyFill="1" applyAlignment="1">
      <alignment horizontal="left"/>
    </xf>
    <xf numFmtId="3" fontId="15" fillId="0" borderId="0" xfId="0" applyNumberFormat="1" applyFont="1" applyFill="1" applyBorder="1"/>
    <xf numFmtId="3" fontId="1" fillId="0" borderId="0" xfId="0" applyNumberFormat="1" applyFont="1" applyFill="1" applyBorder="1"/>
    <xf numFmtId="0" fontId="1" fillId="10" borderId="0" xfId="0" applyFont="1" applyFill="1" applyBorder="1"/>
    <xf numFmtId="0" fontId="16" fillId="10" borderId="0" xfId="0" applyFont="1" applyFill="1" applyBorder="1" applyAlignment="1">
      <alignment horizontal="right"/>
    </xf>
    <xf numFmtId="0" fontId="24" fillId="12" borderId="0" xfId="0" applyFont="1" applyFill="1" applyBorder="1" applyAlignment="1">
      <alignment horizontal="right"/>
    </xf>
    <xf numFmtId="0" fontId="16" fillId="14" borderId="0" xfId="0" applyFont="1" applyFill="1"/>
    <xf numFmtId="0" fontId="1" fillId="14" borderId="0" xfId="0" applyFont="1" applyFill="1"/>
    <xf numFmtId="0" fontId="11" fillId="6" borderId="0" xfId="0" applyFont="1" applyFill="1"/>
    <xf numFmtId="0" fontId="13" fillId="4" borderId="0" xfId="0" applyFont="1" applyFill="1"/>
    <xf numFmtId="0" fontId="11" fillId="9" borderId="0" xfId="0" applyFont="1" applyFill="1"/>
    <xf numFmtId="0" fontId="24" fillId="12" borderId="0" xfId="0" applyFont="1" applyFill="1" applyBorder="1"/>
    <xf numFmtId="0" fontId="7" fillId="11" borderId="0" xfId="0" applyFont="1" applyFill="1" applyAlignment="1">
      <alignment horizontal="right"/>
    </xf>
    <xf numFmtId="0" fontId="11" fillId="3" borderId="0" xfId="0" applyFont="1" applyFill="1" applyProtection="1"/>
    <xf numFmtId="167" fontId="8" fillId="10" borderId="0" xfId="0" applyNumberFormat="1" applyFont="1" applyFill="1" applyBorder="1" applyAlignment="1">
      <alignment horizontal="center"/>
    </xf>
    <xf numFmtId="0" fontId="11" fillId="5" borderId="0" xfId="0" applyFont="1" applyFill="1" applyBorder="1" applyAlignment="1"/>
    <xf numFmtId="0" fontId="17" fillId="16" borderId="0" xfId="18" applyFont="1" applyFill="1" applyAlignment="1"/>
    <xf numFmtId="0" fontId="28" fillId="3" borderId="0" xfId="0" applyFont="1" applyFill="1"/>
    <xf numFmtId="167" fontId="12" fillId="11" borderId="0" xfId="0" applyNumberFormat="1" applyFont="1" applyFill="1" applyBorder="1" applyAlignment="1">
      <alignment horizontal="center"/>
    </xf>
    <xf numFmtId="0" fontId="17" fillId="15" borderId="0" xfId="0" applyFont="1" applyFill="1"/>
    <xf numFmtId="0" fontId="1" fillId="15" borderId="0" xfId="0" applyFont="1" applyFill="1"/>
    <xf numFmtId="0" fontId="1" fillId="15" borderId="0" xfId="0" applyFont="1" applyFill="1" applyBorder="1" applyAlignment="1">
      <alignment horizontal="right"/>
    </xf>
    <xf numFmtId="0" fontId="22" fillId="17" borderId="0" xfId="0" applyFont="1" applyFill="1" applyBorder="1" applyAlignment="1">
      <alignment horizontal="right"/>
    </xf>
    <xf numFmtId="0" fontId="27" fillId="17" borderId="0" xfId="0" applyFont="1" applyFill="1" applyBorder="1" applyAlignment="1">
      <alignment horizontal="right"/>
    </xf>
    <xf numFmtId="3" fontId="12" fillId="15" borderId="0" xfId="0" applyNumberFormat="1" applyFont="1" applyFill="1"/>
    <xf numFmtId="0" fontId="28" fillId="11" borderId="0" xfId="0" applyFont="1" applyFill="1"/>
    <xf numFmtId="0" fontId="30" fillId="12" borderId="0" xfId="0" applyFont="1" applyFill="1" applyBorder="1" applyAlignment="1">
      <alignment horizontal="left"/>
    </xf>
    <xf numFmtId="0" fontId="11" fillId="9" borderId="0" xfId="0" applyFont="1" applyFill="1" applyAlignment="1"/>
    <xf numFmtId="0" fontId="11" fillId="7" borderId="0" xfId="0" applyFont="1" applyFill="1" applyProtection="1"/>
    <xf numFmtId="0" fontId="10" fillId="8" borderId="0" xfId="0" applyFont="1" applyFill="1" applyProtection="1"/>
    <xf numFmtId="3" fontId="31" fillId="0" borderId="0" xfId="0" applyNumberFormat="1" applyFont="1" applyFill="1" applyBorder="1"/>
    <xf numFmtId="167" fontId="8" fillId="11" borderId="0" xfId="0" applyNumberFormat="1" applyFont="1" applyFill="1" applyBorder="1" applyAlignment="1">
      <alignment horizontal="right"/>
    </xf>
    <xf numFmtId="0" fontId="32" fillId="3" borderId="0" xfId="0" applyFont="1" applyFill="1"/>
    <xf numFmtId="3" fontId="18" fillId="0" borderId="0" xfId="0" applyNumberFormat="1" applyFont="1" applyFill="1" applyBorder="1"/>
    <xf numFmtId="167" fontId="8" fillId="0" borderId="0" xfId="0" applyNumberFormat="1" applyFont="1" applyFill="1" applyBorder="1" applyAlignment="1">
      <alignment horizontal="center"/>
    </xf>
    <xf numFmtId="3" fontId="33" fillId="0" borderId="0" xfId="0" applyNumberFormat="1" applyFont="1" applyFill="1" applyBorder="1"/>
    <xf numFmtId="3" fontId="34" fillId="0" borderId="0" xfId="0" applyNumberFormat="1" applyFont="1" applyFill="1" applyBorder="1"/>
    <xf numFmtId="167" fontId="31" fillId="0" borderId="0" xfId="0" applyNumberFormat="1" applyFont="1" applyFill="1" applyBorder="1" applyAlignment="1">
      <alignment horizontal="center"/>
    </xf>
    <xf numFmtId="167" fontId="18" fillId="0" borderId="0" xfId="0" applyNumberFormat="1" applyFont="1" applyFill="1" applyBorder="1" applyAlignment="1">
      <alignment horizontal="center"/>
    </xf>
    <xf numFmtId="167" fontId="33" fillId="0" borderId="0" xfId="0" applyNumberFormat="1" applyFont="1" applyFill="1" applyBorder="1" applyAlignment="1">
      <alignment horizontal="center"/>
    </xf>
    <xf numFmtId="3" fontId="35" fillId="0" borderId="0" xfId="0" applyNumberFormat="1" applyFont="1" applyFill="1" applyBorder="1"/>
    <xf numFmtId="0" fontId="7" fillId="10" borderId="0" xfId="0" applyFont="1" applyFill="1" applyBorder="1" applyAlignment="1">
      <alignment horizontal="right"/>
    </xf>
    <xf numFmtId="167" fontId="8" fillId="10" borderId="0" xfId="0" applyNumberFormat="1" applyFont="1" applyFill="1" applyBorder="1" applyAlignment="1">
      <alignment horizontal="left"/>
    </xf>
    <xf numFmtId="0" fontId="24" fillId="13" borderId="0" xfId="0" applyFont="1" applyFill="1" applyBorder="1"/>
    <xf numFmtId="167" fontId="31" fillId="10" borderId="0" xfId="0" applyNumberFormat="1" applyFont="1" applyFill="1" applyBorder="1" applyAlignment="1">
      <alignment horizontal="left"/>
    </xf>
    <xf numFmtId="0" fontId="7" fillId="14" borderId="0" xfId="0" applyFont="1" applyFill="1" applyAlignment="1">
      <alignment horizontal="right"/>
    </xf>
    <xf numFmtId="167" fontId="8" fillId="14" borderId="0" xfId="0" applyNumberFormat="1" applyFont="1" applyFill="1" applyBorder="1" applyAlignment="1">
      <alignment horizontal="center"/>
    </xf>
    <xf numFmtId="167" fontId="8" fillId="11" borderId="0" xfId="0" applyNumberFormat="1" applyFont="1" applyFill="1" applyBorder="1" applyAlignment="1">
      <alignment horizontal="left"/>
    </xf>
    <xf numFmtId="3" fontId="36" fillId="0" borderId="0" xfId="0" applyNumberFormat="1" applyFont="1" applyFill="1" applyBorder="1"/>
    <xf numFmtId="167" fontId="36" fillId="0" borderId="0" xfId="0" applyNumberFormat="1" applyFont="1" applyFill="1" applyBorder="1" applyAlignment="1">
      <alignment horizontal="center"/>
    </xf>
    <xf numFmtId="0" fontId="1" fillId="11" borderId="0" xfId="0" applyFont="1" applyFill="1" applyAlignment="1">
      <alignment horizontal="right"/>
    </xf>
    <xf numFmtId="0" fontId="17" fillId="3" borderId="0" xfId="0" applyFont="1" applyFill="1" applyAlignment="1">
      <alignment horizontal="right"/>
    </xf>
    <xf numFmtId="2" fontId="1" fillId="11" borderId="0" xfId="0" applyNumberFormat="1" applyFont="1" applyFill="1"/>
    <xf numFmtId="167" fontId="18" fillId="14" borderId="0" xfId="0" applyNumberFormat="1" applyFont="1" applyFill="1" applyBorder="1" applyAlignment="1">
      <alignment horizontal="center"/>
    </xf>
    <xf numFmtId="0" fontId="14" fillId="15" borderId="0" xfId="0" applyFont="1" applyFill="1"/>
    <xf numFmtId="0" fontId="1" fillId="15" borderId="0" xfId="0" applyFont="1" applyFill="1" applyAlignment="1">
      <alignment horizontal="right"/>
    </xf>
    <xf numFmtId="0" fontId="9" fillId="15" borderId="0" xfId="0" applyFont="1" applyFill="1"/>
    <xf numFmtId="0" fontId="7" fillId="15" borderId="0" xfId="0" applyFont="1" applyFill="1" applyAlignment="1">
      <alignment horizontal="right"/>
    </xf>
    <xf numFmtId="3" fontId="12" fillId="15" borderId="0" xfId="0" applyNumberFormat="1" applyFont="1" applyFill="1" applyAlignment="1">
      <alignment horizontal="right"/>
    </xf>
    <xf numFmtId="3" fontId="1" fillId="15" borderId="0" xfId="0" applyNumberFormat="1" applyFont="1" applyFill="1"/>
    <xf numFmtId="0" fontId="14" fillId="15" borderId="0" xfId="0" applyFont="1" applyFill="1" applyAlignment="1">
      <alignment horizontal="left"/>
    </xf>
    <xf numFmtId="0" fontId="9" fillId="15" borderId="0" xfId="0" applyFont="1" applyFill="1" applyAlignment="1">
      <alignment horizontal="left"/>
    </xf>
    <xf numFmtId="0" fontId="1" fillId="15" borderId="0" xfId="0" applyFont="1" applyFill="1" applyAlignment="1">
      <alignment horizontal="left"/>
    </xf>
    <xf numFmtId="0" fontId="7" fillId="15" borderId="0" xfId="0" applyFont="1" applyFill="1" applyAlignment="1">
      <alignment horizontal="left"/>
    </xf>
    <xf numFmtId="0" fontId="7" fillId="15" borderId="0" xfId="0" applyFont="1" applyFill="1" applyAlignment="1">
      <alignment wrapText="1"/>
    </xf>
    <xf numFmtId="167" fontId="37" fillId="0" borderId="0" xfId="0" applyNumberFormat="1" applyFont="1" applyFill="1" applyBorder="1" applyAlignment="1">
      <alignment horizontal="center"/>
    </xf>
    <xf numFmtId="167" fontId="38" fillId="0" borderId="0" xfId="0" applyNumberFormat="1" applyFont="1" applyFill="1" applyBorder="1" applyAlignment="1">
      <alignment horizontal="center"/>
    </xf>
    <xf numFmtId="3" fontId="38" fillId="0" borderId="0" xfId="0" applyNumberFormat="1" applyFont="1" applyFill="1" applyBorder="1"/>
    <xf numFmtId="0" fontId="24" fillId="18" borderId="0" xfId="0" applyFont="1" applyFill="1" applyBorder="1"/>
    <xf numFmtId="0" fontId="1" fillId="14" borderId="0" xfId="0" applyFont="1" applyFill="1" applyBorder="1"/>
    <xf numFmtId="167" fontId="8" fillId="14" borderId="0" xfId="0" applyNumberFormat="1" applyFont="1" applyFill="1" applyBorder="1" applyAlignment="1">
      <alignment horizontal="left"/>
    </xf>
    <xf numFmtId="167" fontId="39" fillId="0" borderId="0" xfId="0" applyNumberFormat="1" applyFont="1" applyFill="1" applyBorder="1" applyAlignment="1">
      <alignment horizontal="center"/>
    </xf>
    <xf numFmtId="3" fontId="39" fillId="0" borderId="0" xfId="0" applyNumberFormat="1" applyFont="1" applyFill="1" applyBorder="1"/>
    <xf numFmtId="0" fontId="7" fillId="15" borderId="0" xfId="0" applyFont="1" applyFill="1" applyAlignment="1">
      <alignment horizontal="right" wrapText="1"/>
    </xf>
    <xf numFmtId="168" fontId="1" fillId="15" borderId="0" xfId="0" applyNumberFormat="1" applyFont="1" applyFill="1"/>
    <xf numFmtId="168" fontId="16" fillId="15" borderId="0" xfId="0" applyNumberFormat="1" applyFont="1" applyFill="1" applyAlignment="1">
      <alignment horizontal="center"/>
    </xf>
    <xf numFmtId="168" fontId="1" fillId="0" borderId="1" xfId="0" applyNumberFormat="1" applyFont="1" applyFill="1" applyBorder="1"/>
    <xf numFmtId="168" fontId="1" fillId="0" borderId="2" xfId="0" applyNumberFormat="1" applyFont="1" applyFill="1" applyBorder="1"/>
    <xf numFmtId="168" fontId="1" fillId="0" borderId="3" xfId="0" applyNumberFormat="1" applyFont="1" applyFill="1" applyBorder="1"/>
    <xf numFmtId="0" fontId="14" fillId="15" borderId="4" xfId="0" applyFont="1" applyFill="1" applyBorder="1" applyAlignment="1">
      <alignment horizontal="left"/>
    </xf>
    <xf numFmtId="0" fontId="1" fillId="15" borderId="5" xfId="0" applyFont="1" applyFill="1" applyBorder="1"/>
    <xf numFmtId="0" fontId="14" fillId="15" borderId="5" xfId="0" applyFont="1" applyFill="1" applyBorder="1" applyAlignment="1">
      <alignment horizontal="left"/>
    </xf>
    <xf numFmtId="0" fontId="1" fillId="15" borderId="6" xfId="0" applyFont="1" applyFill="1" applyBorder="1"/>
    <xf numFmtId="0" fontId="7" fillId="15" borderId="7" xfId="0" applyFont="1" applyFill="1" applyBorder="1" applyAlignment="1">
      <alignment horizontal="left"/>
    </xf>
    <xf numFmtId="0" fontId="1" fillId="15" borderId="0" xfId="0" applyFont="1" applyFill="1" applyBorder="1"/>
    <xf numFmtId="0" fontId="7" fillId="15" borderId="0" xfId="0" applyFont="1" applyFill="1" applyBorder="1" applyAlignment="1">
      <alignment horizontal="left"/>
    </xf>
    <xf numFmtId="0" fontId="9" fillId="15" borderId="0" xfId="0" applyFont="1" applyFill="1" applyBorder="1"/>
    <xf numFmtId="3" fontId="12" fillId="15" borderId="0" xfId="0" applyNumberFormat="1" applyFont="1" applyFill="1" applyBorder="1"/>
    <xf numFmtId="0" fontId="1" fillId="15" borderId="0" xfId="0" applyFont="1" applyFill="1" applyBorder="1" applyAlignment="1">
      <alignment horizontal="left"/>
    </xf>
    <xf numFmtId="0" fontId="1" fillId="15" borderId="8" xfId="0" applyFont="1" applyFill="1" applyBorder="1" applyAlignment="1">
      <alignment horizontal="left"/>
    </xf>
    <xf numFmtId="168" fontId="1" fillId="0" borderId="7" xfId="25" applyNumberFormat="1" applyFont="1" applyFill="1" applyBorder="1"/>
    <xf numFmtId="168" fontId="1" fillId="0" borderId="0" xfId="25" applyNumberFormat="1" applyFont="1" applyFill="1" applyBorder="1"/>
    <xf numFmtId="0" fontId="1" fillId="15" borderId="8" xfId="0" applyFont="1" applyFill="1" applyBorder="1"/>
    <xf numFmtId="0" fontId="1" fillId="15" borderId="7" xfId="0" applyFont="1" applyFill="1" applyBorder="1"/>
    <xf numFmtId="0" fontId="1" fillId="15" borderId="9" xfId="0" applyFont="1" applyFill="1" applyBorder="1"/>
    <xf numFmtId="0" fontId="1" fillId="15" borderId="10" xfId="0" applyFont="1" applyFill="1" applyBorder="1"/>
    <xf numFmtId="168" fontId="1" fillId="0" borderId="10" xfId="25" applyNumberFormat="1" applyFont="1" applyFill="1" applyBorder="1"/>
    <xf numFmtId="0" fontId="1" fillId="15" borderId="11" xfId="0" applyFont="1" applyFill="1" applyBorder="1"/>
    <xf numFmtId="0" fontId="14" fillId="15" borderId="0" xfId="0" applyFont="1" applyFill="1" applyBorder="1" applyAlignment="1">
      <alignment horizontal="left"/>
    </xf>
    <xf numFmtId="0" fontId="42" fillId="3" borderId="0" xfId="26" applyFont="1" applyFill="1" applyBorder="1"/>
    <xf numFmtId="0" fontId="43" fillId="3" borderId="0" xfId="26" applyFont="1" applyFill="1" applyBorder="1"/>
    <xf numFmtId="169" fontId="43" fillId="3" borderId="0" xfId="26" applyNumberFormat="1" applyFont="1" applyFill="1" applyBorder="1" applyAlignment="1">
      <alignment horizontal="center"/>
    </xf>
    <xf numFmtId="169" fontId="43" fillId="3" borderId="0" xfId="26" applyNumberFormat="1" applyFont="1" applyFill="1" applyBorder="1" applyAlignment="1">
      <alignment horizontal="right"/>
    </xf>
    <xf numFmtId="169" fontId="43" fillId="3" borderId="0" xfId="26" applyNumberFormat="1" applyFont="1" applyFill="1" applyBorder="1"/>
    <xf numFmtId="0" fontId="8" fillId="19" borderId="0" xfId="26" applyFont="1" applyFill="1" applyBorder="1"/>
    <xf numFmtId="169" fontId="8" fillId="19" borderId="0" xfId="26" applyNumberFormat="1" applyFont="1" applyFill="1" applyBorder="1"/>
    <xf numFmtId="0" fontId="8" fillId="19" borderId="0" xfId="26" applyFont="1" applyFill="1" applyBorder="1" applyAlignment="1">
      <alignment horizontal="right"/>
    </xf>
    <xf numFmtId="0" fontId="12" fillId="20" borderId="0" xfId="26" applyFont="1" applyFill="1" applyBorder="1" applyAlignment="1">
      <alignment horizontal="center" vertical="center"/>
    </xf>
    <xf numFmtId="0" fontId="12" fillId="20" borderId="0" xfId="26" applyFont="1" applyFill="1" applyBorder="1" applyAlignment="1">
      <alignment horizontal="left" vertical="center"/>
    </xf>
    <xf numFmtId="0" fontId="44" fillId="21" borderId="0" xfId="16" applyFont="1" applyFill="1" applyAlignment="1">
      <alignment vertical="top"/>
    </xf>
    <xf numFmtId="0" fontId="45" fillId="21" borderId="0" xfId="16" applyFont="1" applyFill="1" applyAlignment="1">
      <alignment vertical="top"/>
    </xf>
    <xf numFmtId="0" fontId="8" fillId="19" borderId="0" xfId="26" applyFont="1" applyFill="1" applyBorder="1" applyAlignment="1"/>
    <xf numFmtId="169" fontId="12" fillId="20" borderId="0" xfId="26" applyNumberFormat="1" applyFont="1" applyFill="1" applyBorder="1" applyAlignment="1">
      <alignment horizontal="center" vertical="center" wrapText="1"/>
    </xf>
    <xf numFmtId="0" fontId="12" fillId="20" borderId="0" xfId="26" applyFont="1" applyFill="1" applyBorder="1" applyAlignment="1">
      <alignment horizontal="center" vertical="center" wrapText="1"/>
    </xf>
    <xf numFmtId="0" fontId="12" fillId="19" borderId="0" xfId="26" applyFont="1" applyFill="1" applyBorder="1"/>
    <xf numFmtId="0" fontId="46" fillId="19" borderId="0" xfId="26" applyFont="1" applyFill="1" applyBorder="1" applyAlignment="1">
      <alignment horizontal="right"/>
    </xf>
    <xf numFmtId="0" fontId="8" fillId="19" borderId="0" xfId="26" applyFont="1" applyFill="1" applyBorder="1" applyAlignment="1">
      <alignment vertical="top"/>
    </xf>
    <xf numFmtId="0" fontId="46" fillId="20" borderId="0" xfId="26" applyNumberFormat="1" applyFont="1" applyFill="1" applyBorder="1" applyAlignment="1">
      <alignment horizontal="center" vertical="top" wrapText="1"/>
    </xf>
    <xf numFmtId="0" fontId="46" fillId="20" borderId="12" xfId="26" applyNumberFormat="1" applyFont="1" applyFill="1" applyBorder="1" applyAlignment="1">
      <alignment horizontal="right" vertical="top" wrapText="1"/>
    </xf>
    <xf numFmtId="0" fontId="46" fillId="20" borderId="0" xfId="26" applyNumberFormat="1" applyFont="1" applyFill="1" applyBorder="1" applyAlignment="1">
      <alignment horizontal="right" vertical="top" wrapText="1"/>
    </xf>
    <xf numFmtId="1" fontId="8" fillId="0" borderId="0" xfId="26" applyNumberFormat="1" applyFont="1" applyFill="1" applyBorder="1"/>
    <xf numFmtId="0" fontId="15" fillId="0" borderId="0" xfId="26" applyFont="1" applyFill="1" applyBorder="1" applyAlignment="1" applyProtection="1">
      <alignment horizontal="left" vertical="center" wrapText="1"/>
      <protection locked="0"/>
    </xf>
    <xf numFmtId="0" fontId="15" fillId="0" borderId="0" xfId="26" applyNumberFormat="1" applyFont="1" applyFill="1" applyBorder="1" applyAlignment="1" applyProtection="1">
      <alignment horizontal="left" vertical="center" wrapText="1"/>
      <protection locked="0"/>
    </xf>
    <xf numFmtId="0" fontId="15" fillId="0" borderId="0" xfId="26" applyFont="1" applyFill="1" applyBorder="1" applyAlignment="1" applyProtection="1">
      <alignment horizontal="left" vertical="center"/>
      <protection locked="0"/>
    </xf>
    <xf numFmtId="3" fontId="15" fillId="0" borderId="0" xfId="26" applyNumberFormat="1" applyFont="1" applyFill="1" applyBorder="1" applyAlignment="1" applyProtection="1">
      <alignment horizontal="right" vertical="center"/>
      <protection locked="0"/>
    </xf>
    <xf numFmtId="0" fontId="15" fillId="0" borderId="0" xfId="26" applyFont="1" applyFill="1" applyBorder="1" applyAlignment="1" applyProtection="1">
      <alignment horizontal="center" vertical="center"/>
      <protection locked="0"/>
    </xf>
    <xf numFmtId="0" fontId="8" fillId="19" borderId="0" xfId="26" applyNumberFormat="1" applyFont="1" applyFill="1" applyBorder="1" applyAlignment="1">
      <alignment horizontal="center"/>
    </xf>
    <xf numFmtId="0" fontId="8" fillId="19" borderId="0" xfId="26" applyNumberFormat="1" applyFont="1" applyFill="1" applyBorder="1" applyAlignment="1">
      <alignment horizontal="right"/>
    </xf>
    <xf numFmtId="0" fontId="12" fillId="19" borderId="0" xfId="26" applyFont="1" applyFill="1" applyBorder="1" applyAlignment="1">
      <alignment horizontal="right"/>
    </xf>
    <xf numFmtId="0" fontId="12" fillId="20" borderId="13" xfId="26" applyNumberFormat="1" applyFont="1" applyFill="1" applyBorder="1" applyAlignment="1">
      <alignment horizontal="center" vertical="top" wrapText="1"/>
    </xf>
    <xf numFmtId="0" fontId="8" fillId="20" borderId="14" xfId="26" applyNumberFormat="1" applyFont="1" applyFill="1" applyBorder="1" applyAlignment="1">
      <alignment horizontal="center" vertical="top" wrapText="1"/>
    </xf>
    <xf numFmtId="0" fontId="8" fillId="20" borderId="13" xfId="26" applyNumberFormat="1" applyFont="1" applyFill="1" applyBorder="1" applyAlignment="1">
      <alignment horizontal="center" vertical="top" wrapText="1"/>
    </xf>
    <xf numFmtId="0" fontId="8" fillId="20" borderId="13" xfId="26" applyNumberFormat="1" applyFont="1" applyFill="1" applyBorder="1" applyAlignment="1">
      <alignment horizontal="center" vertical="center" wrapText="1"/>
    </xf>
    <xf numFmtId="0" fontId="12" fillId="20" borderId="13" xfId="26" applyNumberFormat="1" applyFont="1" applyFill="1" applyBorder="1" applyAlignment="1">
      <alignment horizontal="center" vertical="center" wrapText="1"/>
    </xf>
    <xf numFmtId="0" fontId="46" fillId="20" borderId="14" xfId="26" applyNumberFormat="1" applyFont="1" applyFill="1" applyBorder="1" applyAlignment="1">
      <alignment horizontal="right" vertical="top" wrapText="1"/>
    </xf>
    <xf numFmtId="0" fontId="46" fillId="20" borderId="13" xfId="26" applyNumberFormat="1" applyFont="1" applyFill="1" applyBorder="1" applyAlignment="1">
      <alignment horizontal="right" vertical="top" wrapText="1"/>
    </xf>
    <xf numFmtId="1" fontId="8" fillId="19" borderId="0" xfId="26" applyNumberFormat="1" applyFont="1" applyFill="1" applyBorder="1" applyAlignment="1">
      <alignment horizontal="center"/>
    </xf>
    <xf numFmtId="3" fontId="8" fillId="0" borderId="0" xfId="26" applyNumberFormat="1" applyFont="1" applyFill="1" applyBorder="1"/>
    <xf numFmtId="3" fontId="12" fillId="19" borderId="0" xfId="26" applyNumberFormat="1" applyFont="1" applyFill="1" applyBorder="1" applyAlignment="1">
      <alignment vertical="top" wrapText="1"/>
    </xf>
    <xf numFmtId="1" fontId="8" fillId="20" borderId="0" xfId="26" applyNumberFormat="1" applyFont="1" applyFill="1" applyBorder="1" applyAlignment="1">
      <alignment horizontal="center" vertical="top" wrapText="1"/>
    </xf>
    <xf numFmtId="3" fontId="47" fillId="0" borderId="12" xfId="26" applyNumberFormat="1" applyFont="1" applyFill="1" applyBorder="1" applyAlignment="1">
      <alignment horizontal="center"/>
    </xf>
    <xf numFmtId="3" fontId="47" fillId="0" borderId="0" xfId="26" applyNumberFormat="1" applyFont="1" applyFill="1" applyBorder="1" applyAlignment="1">
      <alignment horizontal="center"/>
    </xf>
    <xf numFmtId="3" fontId="8" fillId="0" borderId="0" xfId="26" applyNumberFormat="1" applyFont="1" applyFill="1" applyBorder="1" applyAlignment="1">
      <alignment horizontal="right" vertical="center"/>
    </xf>
    <xf numFmtId="1" fontId="8" fillId="19" borderId="0" xfId="26" applyNumberFormat="1" applyFont="1" applyFill="1" applyBorder="1"/>
    <xf numFmtId="0" fontId="15" fillId="19" borderId="0" xfId="26" applyFont="1" applyFill="1" applyBorder="1" applyAlignment="1">
      <alignment horizontal="left"/>
    </xf>
    <xf numFmtId="0" fontId="15" fillId="19" borderId="0" xfId="26" applyNumberFormat="1" applyFont="1" applyFill="1" applyBorder="1" applyAlignment="1">
      <alignment horizontal="left"/>
    </xf>
    <xf numFmtId="3" fontId="15" fillId="19" borderId="0" xfId="26" applyNumberFormat="1" applyFont="1" applyFill="1" applyBorder="1" applyAlignment="1">
      <alignment horizontal="right"/>
    </xf>
    <xf numFmtId="0" fontId="15" fillId="19" borderId="0" xfId="26" applyFont="1" applyFill="1" applyBorder="1"/>
    <xf numFmtId="0" fontId="15" fillId="0" borderId="0" xfId="26" applyFont="1" applyFill="1" applyBorder="1" applyAlignment="1" applyProtection="1">
      <alignment horizontal="left"/>
      <protection locked="0"/>
    </xf>
    <xf numFmtId="0" fontId="15" fillId="0" borderId="0" xfId="26" applyNumberFormat="1" applyFont="1" applyFill="1" applyBorder="1" applyAlignment="1" applyProtection="1">
      <alignment horizontal="left"/>
      <protection locked="0"/>
    </xf>
    <xf numFmtId="3" fontId="15" fillId="0" borderId="0" xfId="26" applyNumberFormat="1" applyFont="1" applyFill="1" applyBorder="1" applyAlignment="1" applyProtection="1">
      <alignment horizontal="right"/>
      <protection locked="0"/>
    </xf>
    <xf numFmtId="0" fontId="15" fillId="0" borderId="0" xfId="26" applyFont="1" applyFill="1" applyBorder="1" applyAlignment="1" applyProtection="1">
      <alignment horizontal="center"/>
      <protection locked="0"/>
    </xf>
    <xf numFmtId="0" fontId="15" fillId="0" borderId="0" xfId="26" applyFont="1" applyFill="1" applyBorder="1" applyAlignment="1">
      <alignment horizontal="center"/>
    </xf>
    <xf numFmtId="0" fontId="15" fillId="0" borderId="0" xfId="26" applyFont="1" applyFill="1" applyBorder="1" applyAlignment="1">
      <alignment horizontal="left"/>
    </xf>
    <xf numFmtId="0" fontId="15" fillId="0" borderId="0" xfId="26" applyNumberFormat="1" applyFont="1" applyFill="1" applyBorder="1" applyAlignment="1">
      <alignment horizontal="left"/>
    </xf>
    <xf numFmtId="3" fontId="15" fillId="0" borderId="0" xfId="26" applyNumberFormat="1" applyFont="1" applyFill="1" applyBorder="1" applyAlignment="1">
      <alignment horizontal="right"/>
    </xf>
    <xf numFmtId="3" fontId="8" fillId="19" borderId="0" xfId="26" applyNumberFormat="1" applyFont="1" applyFill="1" applyBorder="1"/>
    <xf numFmtId="0" fontId="8" fillId="19" borderId="0" xfId="26" applyFont="1" applyFill="1" applyBorder="1" applyAlignment="1">
      <alignment horizontal="center" vertical="top" wrapText="1"/>
    </xf>
    <xf numFmtId="0" fontId="8" fillId="19" borderId="0" xfId="26" applyFont="1" applyFill="1" applyBorder="1" applyAlignment="1">
      <alignment horizontal="left" vertical="top" wrapText="1"/>
    </xf>
    <xf numFmtId="0" fontId="8" fillId="19" borderId="0" xfId="26" applyFont="1" applyFill="1" applyBorder="1" applyAlignment="1">
      <alignment horizontal="left" vertical="top"/>
    </xf>
    <xf numFmtId="169" fontId="12" fillId="20" borderId="0" xfId="26" applyNumberFormat="1" applyFont="1" applyFill="1" applyBorder="1" applyAlignment="1">
      <alignment horizontal="right" vertical="center" wrapText="1"/>
    </xf>
    <xf numFmtId="0" fontId="12" fillId="20" borderId="0" xfId="26" applyFont="1" applyFill="1" applyBorder="1" applyAlignment="1">
      <alignment vertical="center" wrapText="1"/>
    </xf>
    <xf numFmtId="0" fontId="8" fillId="19" borderId="0" xfId="26" applyFont="1" applyFill="1" applyBorder="1" applyAlignment="1">
      <alignment horizontal="center" vertical="center"/>
    </xf>
    <xf numFmtId="0" fontId="8" fillId="19" borderId="0" xfId="26" applyFont="1" applyFill="1" applyBorder="1" applyAlignment="1">
      <alignment vertical="top" wrapText="1"/>
    </xf>
    <xf numFmtId="0" fontId="8" fillId="0" borderId="0" xfId="26" applyFont="1" applyFill="1" applyBorder="1" applyAlignment="1">
      <alignment horizontal="center" vertical="top" wrapText="1"/>
    </xf>
    <xf numFmtId="0" fontId="15" fillId="0" borderId="0" xfId="26" applyFont="1" applyFill="1" applyBorder="1" applyAlignment="1" applyProtection="1">
      <alignment horizontal="left" vertical="top" wrapText="1"/>
      <protection locked="0"/>
    </xf>
    <xf numFmtId="0" fontId="15" fillId="0" borderId="0" xfId="26" applyFont="1" applyFill="1" applyBorder="1" applyAlignment="1" applyProtection="1">
      <alignment horizontal="left" vertical="top"/>
      <protection locked="0"/>
    </xf>
    <xf numFmtId="0" fontId="15" fillId="0" borderId="0" xfId="26" applyNumberFormat="1" applyFont="1" applyFill="1" applyBorder="1" applyAlignment="1" applyProtection="1">
      <alignment horizontal="right" vertical="top" wrapText="1"/>
      <protection locked="0"/>
    </xf>
    <xf numFmtId="0" fontId="15" fillId="0" borderId="0" xfId="26" applyFont="1" applyFill="1" applyBorder="1" applyAlignment="1" applyProtection="1">
      <alignment horizontal="center" vertical="top" wrapText="1"/>
      <protection locked="0"/>
    </xf>
    <xf numFmtId="0" fontId="8" fillId="19" borderId="0" xfId="26" applyFont="1" applyFill="1" applyBorder="1" applyAlignment="1">
      <alignment horizontal="center"/>
    </xf>
    <xf numFmtId="0" fontId="8" fillId="19" borderId="0" xfId="26" applyFont="1" applyFill="1" applyBorder="1" applyAlignment="1" applyProtection="1">
      <alignment horizontal="right"/>
      <protection locked="0"/>
    </xf>
    <xf numFmtId="0" fontId="8" fillId="19" borderId="0" xfId="26" applyFont="1" applyFill="1" applyBorder="1" applyAlignment="1">
      <alignment horizontal="right" vertical="top" wrapText="1"/>
    </xf>
    <xf numFmtId="0" fontId="15" fillId="19" borderId="0" xfId="26" applyFont="1" applyFill="1" applyBorder="1" applyAlignment="1" applyProtection="1">
      <alignment horizontal="left" vertical="top" wrapText="1"/>
      <protection locked="0"/>
    </xf>
    <xf numFmtId="0" fontId="15" fillId="19" borderId="0" xfId="26" applyFont="1" applyFill="1" applyBorder="1" applyAlignment="1" applyProtection="1">
      <alignment horizontal="left" vertical="top"/>
      <protection locked="0"/>
    </xf>
    <xf numFmtId="0" fontId="15" fillId="19" borderId="0" xfId="26" applyNumberFormat="1" applyFont="1" applyFill="1" applyBorder="1" applyAlignment="1" applyProtection="1">
      <alignment horizontal="right" vertical="top" wrapText="1"/>
      <protection locked="0"/>
    </xf>
    <xf numFmtId="0" fontId="15" fillId="19" borderId="0" xfId="26" applyFont="1" applyFill="1" applyBorder="1" applyAlignment="1" applyProtection="1">
      <alignment horizontal="center" vertical="top" wrapText="1"/>
      <protection locked="0"/>
    </xf>
    <xf numFmtId="3" fontId="15" fillId="0" borderId="0" xfId="26" applyNumberFormat="1" applyFont="1" applyFill="1" applyBorder="1" applyAlignment="1" applyProtection="1">
      <alignment horizontal="right" vertical="top" wrapText="1"/>
      <protection locked="0"/>
    </xf>
    <xf numFmtId="0" fontId="15" fillId="0" borderId="0" xfId="26" applyFont="1" applyFill="1" applyBorder="1" applyAlignment="1">
      <alignment horizontal="left" vertical="top"/>
    </xf>
    <xf numFmtId="0" fontId="15" fillId="19" borderId="0" xfId="26" applyFont="1" applyFill="1" applyBorder="1" applyAlignment="1">
      <alignment horizontal="left" vertical="top" wrapText="1"/>
    </xf>
    <xf numFmtId="0" fontId="15" fillId="19" borderId="0" xfId="26" applyFont="1" applyFill="1" applyBorder="1" applyAlignment="1">
      <alignment horizontal="left" vertical="top"/>
    </xf>
    <xf numFmtId="169" fontId="15" fillId="19" borderId="0" xfId="26" applyNumberFormat="1" applyFont="1" applyFill="1" applyBorder="1" applyAlignment="1">
      <alignment horizontal="right" vertical="top" wrapText="1"/>
    </xf>
    <xf numFmtId="0" fontId="15" fillId="19" borderId="0" xfId="26" applyFont="1" applyFill="1" applyBorder="1" applyAlignment="1">
      <alignment vertical="top" wrapText="1"/>
    </xf>
    <xf numFmtId="169" fontId="8" fillId="19" borderId="0" xfId="26" applyNumberFormat="1" applyFont="1" applyFill="1" applyBorder="1" applyAlignment="1">
      <alignment horizontal="right" vertical="top" wrapText="1"/>
    </xf>
    <xf numFmtId="0" fontId="46" fillId="19" borderId="0" xfId="26" applyFont="1" applyFill="1" applyBorder="1" applyAlignment="1">
      <alignment horizontal="left"/>
    </xf>
    <xf numFmtId="0" fontId="12" fillId="20" borderId="0" xfId="26" applyNumberFormat="1" applyFont="1" applyFill="1" applyBorder="1" applyAlignment="1">
      <alignment horizontal="right" vertical="top" wrapText="1"/>
    </xf>
    <xf numFmtId="0" fontId="12" fillId="20" borderId="0" xfId="26" applyNumberFormat="1" applyFont="1" applyFill="1" applyBorder="1" applyAlignment="1">
      <alignment horizontal="right" vertical="center" wrapText="1"/>
    </xf>
    <xf numFmtId="0" fontId="12" fillId="22" borderId="15" xfId="26" applyNumberFormat="1" applyFont="1" applyFill="1" applyBorder="1" applyAlignment="1">
      <alignment horizontal="center" vertical="top" wrapText="1"/>
    </xf>
    <xf numFmtId="1" fontId="8" fillId="0" borderId="0" xfId="26" applyNumberFormat="1" applyFont="1" applyFill="1" applyBorder="1" applyAlignment="1">
      <alignment horizontal="center" vertical="top" wrapText="1"/>
    </xf>
    <xf numFmtId="0" fontId="8" fillId="0" borderId="0" xfId="26" applyFont="1" applyFill="1" applyBorder="1" applyAlignment="1">
      <alignment vertical="top"/>
    </xf>
    <xf numFmtId="3" fontId="15" fillId="0" borderId="0" xfId="26" applyNumberFormat="1" applyFont="1" applyFill="1" applyBorder="1" applyAlignment="1">
      <alignment horizontal="right" vertical="center"/>
    </xf>
    <xf numFmtId="3" fontId="15" fillId="0" borderId="0" xfId="26" applyNumberFormat="1" applyFont="1" applyFill="1" applyBorder="1" applyAlignment="1">
      <alignment horizontal="right" vertical="top" wrapText="1"/>
    </xf>
    <xf numFmtId="3" fontId="15" fillId="0" borderId="0" xfId="26" applyNumberFormat="1" applyFont="1" applyFill="1" applyBorder="1" applyAlignment="1">
      <alignment horizontal="right" vertical="top"/>
    </xf>
    <xf numFmtId="0" fontId="48" fillId="22" borderId="15" xfId="26" applyFont="1" applyFill="1" applyBorder="1" applyAlignment="1">
      <alignment horizontal="center" vertical="top" wrapText="1"/>
    </xf>
    <xf numFmtId="169" fontId="8" fillId="0" borderId="15" xfId="26" applyNumberFormat="1" applyFont="1" applyBorder="1" applyAlignment="1" applyProtection="1">
      <alignment horizontal="right" vertical="top" wrapText="1"/>
      <protection locked="0"/>
    </xf>
    <xf numFmtId="1" fontId="8" fillId="0" borderId="15" xfId="26" applyNumberFormat="1" applyFont="1" applyBorder="1" applyAlignment="1">
      <alignment horizontal="right" vertical="top" wrapText="1"/>
    </xf>
    <xf numFmtId="0" fontId="8" fillId="0" borderId="15" xfId="26" applyNumberFormat="1" applyFont="1" applyBorder="1" applyAlignment="1" applyProtection="1">
      <alignment horizontal="right" vertical="top" wrapText="1"/>
      <protection locked="0"/>
    </xf>
    <xf numFmtId="165" fontId="8" fillId="0" borderId="15" xfId="4" applyFont="1" applyBorder="1" applyAlignment="1" applyProtection="1">
      <alignment horizontal="right" vertical="top" wrapText="1"/>
      <protection locked="0"/>
    </xf>
    <xf numFmtId="1" fontId="8" fillId="0" borderId="15" xfId="26" applyNumberFormat="1" applyFont="1" applyBorder="1" applyAlignment="1" applyProtection="1">
      <alignment horizontal="right" vertical="top" wrapText="1"/>
      <protection locked="0"/>
    </xf>
    <xf numFmtId="1" fontId="15" fillId="0" borderId="15" xfId="26" applyNumberFormat="1" applyFont="1" applyBorder="1" applyAlignment="1">
      <alignment horizontal="right" vertical="top" wrapText="1"/>
    </xf>
    <xf numFmtId="1" fontId="15" fillId="0" borderId="15" xfId="26" applyNumberFormat="1" applyFont="1" applyFill="1" applyBorder="1" applyAlignment="1" applyProtection="1">
      <alignment vertical="top" wrapText="1"/>
      <protection locked="0"/>
    </xf>
    <xf numFmtId="1" fontId="15" fillId="0" borderId="15" xfId="26" applyNumberFormat="1" applyFont="1" applyFill="1" applyBorder="1" applyAlignment="1" applyProtection="1">
      <alignment horizontal="right" vertical="top" wrapText="1"/>
      <protection locked="0"/>
    </xf>
    <xf numFmtId="1" fontId="15" fillId="0" borderId="15" xfId="26" applyNumberFormat="1" applyFont="1" applyBorder="1"/>
    <xf numFmtId="1" fontId="15" fillId="0" borderId="16" xfId="26" applyNumberFormat="1" applyFont="1" applyFill="1" applyBorder="1"/>
    <xf numFmtId="1" fontId="15" fillId="0" borderId="15" xfId="26" applyNumberFormat="1" applyFont="1" applyFill="1" applyBorder="1" applyAlignment="1" applyProtection="1">
      <alignment vertical="top"/>
      <protection locked="0"/>
    </xf>
    <xf numFmtId="1" fontId="12" fillId="22" borderId="15" xfId="26" applyNumberFormat="1" applyFont="1" applyFill="1" applyBorder="1" applyAlignment="1">
      <alignment horizontal="center" vertical="top" wrapText="1"/>
    </xf>
    <xf numFmtId="0" fontId="48" fillId="22" borderId="15" xfId="26" applyFont="1" applyFill="1" applyBorder="1" applyAlignment="1">
      <alignment horizontal="center" vertical="top"/>
    </xf>
    <xf numFmtId="3" fontId="8" fillId="0" borderId="15" xfId="26" applyNumberFormat="1" applyFont="1" applyBorder="1" applyAlignment="1">
      <alignment horizontal="right" vertical="top" wrapText="1"/>
    </xf>
    <xf numFmtId="3" fontId="8" fillId="0" borderId="15" xfId="26" applyNumberFormat="1" applyFont="1" applyFill="1" applyBorder="1" applyAlignment="1" applyProtection="1">
      <alignment horizontal="right" vertical="top" wrapText="1"/>
      <protection locked="0"/>
    </xf>
    <xf numFmtId="3" fontId="15" fillId="0" borderId="15" xfId="26" applyNumberFormat="1" applyFont="1" applyBorder="1" applyAlignment="1">
      <alignment horizontal="right" vertical="top" wrapText="1"/>
    </xf>
    <xf numFmtId="3" fontId="15" fillId="0" borderId="15" xfId="26" applyNumberFormat="1" applyFont="1" applyFill="1" applyBorder="1" applyAlignment="1" applyProtection="1">
      <alignment horizontal="right" vertical="top" wrapText="1"/>
      <protection locked="0"/>
    </xf>
    <xf numFmtId="3" fontId="8" fillId="0" borderId="15" xfId="26" applyNumberFormat="1" applyFont="1" applyFill="1" applyBorder="1" applyAlignment="1" applyProtection="1">
      <alignment vertical="top" wrapText="1"/>
      <protection locked="0"/>
    </xf>
    <xf numFmtId="3" fontId="15" fillId="0" borderId="15" xfId="26" applyNumberFormat="1" applyFont="1" applyFill="1" applyBorder="1" applyAlignment="1" applyProtection="1">
      <alignment vertical="top" wrapText="1"/>
      <protection locked="0"/>
    </xf>
    <xf numFmtId="3" fontId="8" fillId="0" borderId="15" xfId="26" applyNumberFormat="1" applyFont="1" applyBorder="1"/>
    <xf numFmtId="3" fontId="8" fillId="0" borderId="16" xfId="26" applyNumberFormat="1" applyFont="1" applyFill="1" applyBorder="1"/>
    <xf numFmtId="3" fontId="15" fillId="0" borderId="15" xfId="26" applyNumberFormat="1" applyFont="1" applyBorder="1"/>
    <xf numFmtId="3" fontId="15" fillId="0" borderId="16" xfId="26" applyNumberFormat="1" applyFont="1" applyFill="1" applyBorder="1"/>
    <xf numFmtId="3" fontId="8" fillId="0" borderId="15" xfId="26" applyNumberFormat="1" applyFont="1" applyFill="1" applyBorder="1" applyAlignment="1" applyProtection="1">
      <alignment vertical="top"/>
      <protection locked="0"/>
    </xf>
    <xf numFmtId="3" fontId="15" fillId="0" borderId="15" xfId="26" applyNumberFormat="1" applyFont="1" applyFill="1" applyBorder="1" applyAlignment="1" applyProtection="1">
      <alignment vertical="top"/>
      <protection locked="0"/>
    </xf>
    <xf numFmtId="169" fontId="8" fillId="19" borderId="0" xfId="26" applyNumberFormat="1" applyFont="1" applyFill="1" applyBorder="1" applyAlignment="1">
      <alignment horizontal="center"/>
    </xf>
    <xf numFmtId="0" fontId="8" fillId="19" borderId="0" xfId="26" applyFont="1" applyFill="1" applyBorder="1" applyAlignment="1">
      <alignment wrapText="1"/>
    </xf>
    <xf numFmtId="0" fontId="8" fillId="0" borderId="19" xfId="26" applyFont="1" applyBorder="1" applyAlignment="1">
      <alignment wrapText="1"/>
    </xf>
    <xf numFmtId="3" fontId="50" fillId="0" borderId="15" xfId="26" applyNumberFormat="1" applyFont="1" applyBorder="1" applyAlignment="1" applyProtection="1">
      <alignment horizontal="center" vertical="center"/>
      <protection locked="0"/>
    </xf>
    <xf numFmtId="3" fontId="50" fillId="0" borderId="15" xfId="26" applyNumberFormat="1" applyFont="1" applyBorder="1" applyAlignment="1" applyProtection="1">
      <alignment horizontal="center" vertical="center" wrapText="1"/>
      <protection locked="0"/>
    </xf>
    <xf numFmtId="3" fontId="50" fillId="0" borderId="15" xfId="26" applyNumberFormat="1" applyFont="1" applyBorder="1" applyAlignment="1">
      <alignment horizontal="center" vertical="center"/>
    </xf>
    <xf numFmtId="3" fontId="50" fillId="0" borderId="15" xfId="26" applyNumberFormat="1" applyFont="1" applyBorder="1" applyAlignment="1">
      <alignment vertical="center"/>
    </xf>
    <xf numFmtId="3" fontId="50" fillId="0" borderId="15" xfId="26" applyNumberFormat="1" applyFont="1" applyBorder="1"/>
    <xf numFmtId="3" fontId="12" fillId="0" borderId="15" xfId="26" applyNumberFormat="1" applyFont="1" applyBorder="1" applyAlignment="1">
      <alignment wrapText="1"/>
    </xf>
    <xf numFmtId="0" fontId="8" fillId="0" borderId="0" xfId="26" applyFont="1" applyBorder="1" applyAlignment="1" applyProtection="1">
      <alignment vertical="top"/>
      <protection locked="0"/>
    </xf>
    <xf numFmtId="1" fontId="8" fillId="0" borderId="0" xfId="26" applyNumberFormat="1" applyFont="1" applyBorder="1"/>
    <xf numFmtId="3" fontId="15" fillId="19" borderId="0" xfId="26" applyNumberFormat="1" applyFont="1" applyFill="1" applyBorder="1" applyAlignment="1">
      <alignment horizontal="right" vertical="center"/>
    </xf>
    <xf numFmtId="3" fontId="15" fillId="19" borderId="0" xfId="26" applyNumberFormat="1" applyFont="1" applyFill="1" applyBorder="1" applyAlignment="1">
      <alignment horizontal="right" vertical="top" wrapText="1"/>
    </xf>
    <xf numFmtId="3" fontId="15" fillId="19" borderId="0" xfId="26" applyNumberFormat="1" applyFont="1" applyFill="1" applyBorder="1" applyAlignment="1">
      <alignment horizontal="right" vertical="top"/>
    </xf>
    <xf numFmtId="0" fontId="1" fillId="19" borderId="0" xfId="18" applyFont="1" applyFill="1"/>
    <xf numFmtId="0" fontId="7" fillId="19" borderId="0" xfId="18" applyFont="1" applyFill="1"/>
    <xf numFmtId="49" fontId="1" fillId="19" borderId="0" xfId="18" applyNumberFormat="1" applyFont="1" applyFill="1"/>
    <xf numFmtId="3" fontId="1" fillId="0" borderId="0" xfId="18" applyNumberFormat="1" applyFont="1" applyFill="1"/>
    <xf numFmtId="0" fontId="7" fillId="19" borderId="0" xfId="18" applyFont="1" applyFill="1" applyAlignment="1">
      <alignment wrapText="1"/>
    </xf>
    <xf numFmtId="0" fontId="1" fillId="19" borderId="0" xfId="18" applyFont="1" applyFill="1" applyAlignment="1"/>
    <xf numFmtId="3" fontId="15" fillId="0" borderId="0" xfId="18" applyNumberFormat="1" applyFont="1" applyFill="1"/>
    <xf numFmtId="0" fontId="1" fillId="0" borderId="0" xfId="18" applyFont="1" applyFill="1"/>
    <xf numFmtId="167" fontId="36" fillId="23" borderId="0" xfId="0" applyNumberFormat="1" applyFont="1" applyFill="1" applyBorder="1" applyAlignment="1">
      <alignment horizontal="center"/>
    </xf>
    <xf numFmtId="167" fontId="36" fillId="24" borderId="0" xfId="0" applyNumberFormat="1" applyFont="1" applyFill="1" applyBorder="1" applyAlignment="1">
      <alignment horizontal="center"/>
    </xf>
    <xf numFmtId="3" fontId="36" fillId="24" borderId="0" xfId="0" applyNumberFormat="1" applyFont="1" applyFill="1" applyBorder="1"/>
    <xf numFmtId="3" fontId="36" fillId="15" borderId="0" xfId="0" applyNumberFormat="1" applyFont="1" applyFill="1"/>
    <xf numFmtId="170" fontId="43" fillId="3" borderId="0" xfId="30" applyNumberFormat="1" applyFont="1" applyFill="1" applyBorder="1"/>
    <xf numFmtId="170" fontId="8" fillId="19" borderId="0" xfId="30" applyNumberFormat="1" applyFont="1" applyFill="1" applyBorder="1"/>
    <xf numFmtId="170" fontId="45" fillId="21" borderId="0" xfId="30" applyNumberFormat="1" applyFont="1" applyFill="1" applyAlignment="1">
      <alignment vertical="top"/>
    </xf>
    <xf numFmtId="170" fontId="8" fillId="19" borderId="0" xfId="30" applyNumberFormat="1" applyFont="1" applyFill="1" applyBorder="1" applyAlignment="1">
      <alignment horizontal="right"/>
    </xf>
    <xf numFmtId="170" fontId="8" fillId="0" borderId="0" xfId="30" applyNumberFormat="1" applyFont="1" applyFill="1" applyBorder="1"/>
    <xf numFmtId="170" fontId="8" fillId="19" borderId="0" xfId="30" applyNumberFormat="1" applyFont="1" applyFill="1" applyBorder="1" applyAlignment="1">
      <alignment vertical="top" wrapText="1"/>
    </xf>
    <xf numFmtId="170" fontId="49" fillId="0" borderId="15" xfId="30" applyNumberFormat="1" applyFont="1" applyFill="1" applyBorder="1" applyAlignment="1">
      <alignment vertical="top"/>
    </xf>
    <xf numFmtId="170" fontId="8" fillId="0" borderId="19" xfId="30" applyNumberFormat="1" applyFont="1" applyBorder="1" applyAlignment="1">
      <alignment wrapText="1"/>
    </xf>
    <xf numFmtId="170" fontId="8" fillId="0" borderId="0" xfId="30" applyNumberFormat="1" applyFont="1" applyBorder="1" applyAlignment="1" applyProtection="1">
      <alignment vertical="top"/>
      <protection locked="0"/>
    </xf>
    <xf numFmtId="0" fontId="52" fillId="15" borderId="0" xfId="0" applyFont="1" applyFill="1"/>
    <xf numFmtId="0" fontId="11" fillId="3" borderId="0" xfId="31" applyFont="1" applyFill="1"/>
    <xf numFmtId="0" fontId="54" fillId="3" borderId="0" xfId="31" applyFont="1" applyFill="1"/>
    <xf numFmtId="0" fontId="1" fillId="19" borderId="0" xfId="31" applyFill="1" applyAlignment="1">
      <alignment vertical="center"/>
    </xf>
    <xf numFmtId="0" fontId="1" fillId="19" borderId="0" xfId="31" applyFill="1" applyAlignment="1">
      <alignment horizontal="right" vertical="center"/>
    </xf>
    <xf numFmtId="0" fontId="7" fillId="19" borderId="0" xfId="31" applyFont="1" applyFill="1" applyAlignment="1">
      <alignment vertical="center"/>
    </xf>
    <xf numFmtId="0" fontId="15" fillId="19" borderId="0" xfId="31" applyFont="1" applyFill="1" applyAlignment="1">
      <alignment horizontal="right" vertical="center"/>
    </xf>
    <xf numFmtId="0" fontId="0" fillId="19" borderId="0" xfId="31" applyFont="1" applyFill="1" applyAlignment="1">
      <alignment vertical="center"/>
    </xf>
    <xf numFmtId="0" fontId="0" fillId="19" borderId="0" xfId="31" applyFont="1" applyFill="1" applyAlignment="1">
      <alignment horizontal="right" vertical="center"/>
    </xf>
    <xf numFmtId="0" fontId="18" fillId="19" borderId="0" xfId="31" applyFont="1" applyFill="1" applyAlignment="1">
      <alignment horizontal="right" vertical="center"/>
    </xf>
    <xf numFmtId="0" fontId="19" fillId="19" borderId="0" xfId="32" applyFill="1"/>
    <xf numFmtId="0" fontId="1" fillId="19" borderId="0" xfId="31" applyFill="1"/>
    <xf numFmtId="0" fontId="1" fillId="19" borderId="0" xfId="32" applyFont="1" applyFill="1"/>
    <xf numFmtId="0" fontId="7" fillId="19" borderId="0" xfId="31" applyFont="1" applyFill="1"/>
    <xf numFmtId="0" fontId="7" fillId="2" borderId="20" xfId="31" applyFont="1" applyFill="1" applyBorder="1"/>
    <xf numFmtId="0" fontId="1" fillId="19" borderId="0" xfId="32" applyFont="1" applyFill="1" applyAlignment="1">
      <alignment vertical="top"/>
    </xf>
    <xf numFmtId="0" fontId="19" fillId="19" borderId="0" xfId="31" applyFont="1" applyFill="1"/>
    <xf numFmtId="0" fontId="19" fillId="19" borderId="0" xfId="32" applyFill="1" applyAlignment="1">
      <alignment horizontal="right" vertical="top"/>
    </xf>
    <xf numFmtId="0" fontId="19" fillId="19" borderId="0" xfId="32" applyFill="1" applyAlignment="1">
      <alignment vertical="top"/>
    </xf>
    <xf numFmtId="0" fontId="53" fillId="19" borderId="0" xfId="32" applyFont="1" applyFill="1" applyAlignment="1">
      <alignment horizontal="right" vertical="top"/>
    </xf>
    <xf numFmtId="0" fontId="56" fillId="19" borderId="0" xfId="32" applyFont="1" applyFill="1" applyAlignment="1">
      <alignment horizontal="left" vertical="top"/>
    </xf>
    <xf numFmtId="0" fontId="53" fillId="19" borderId="0" xfId="32" applyFont="1" applyFill="1" applyAlignment="1">
      <alignment vertical="top"/>
    </xf>
    <xf numFmtId="3" fontId="1" fillId="0" borderId="0" xfId="0" applyNumberFormat="1" applyFont="1" applyFill="1" applyBorder="1" applyAlignment="1" applyProtection="1">
      <alignment horizontal="right" vertical="center"/>
    </xf>
    <xf numFmtId="3" fontId="59" fillId="0" borderId="0" xfId="0" applyNumberFormat="1" applyFont="1" applyAlignment="1">
      <alignment horizontal="right" vertical="center"/>
    </xf>
    <xf numFmtId="0" fontId="1" fillId="10" borderId="0" xfId="0" applyFont="1" applyFill="1" applyAlignment="1">
      <alignment horizontal="right"/>
    </xf>
    <xf numFmtId="0" fontId="27" fillId="13" borderId="0" xfId="0" applyFont="1" applyFill="1" applyAlignment="1">
      <alignment horizontal="right"/>
    </xf>
    <xf numFmtId="172" fontId="1" fillId="19" borderId="0" xfId="18" applyNumberFormat="1" applyFont="1" applyFill="1"/>
    <xf numFmtId="3" fontId="1" fillId="19" borderId="0" xfId="18" applyNumberFormat="1" applyFont="1" applyFill="1"/>
    <xf numFmtId="9" fontId="1" fillId="19" borderId="0" xfId="18" applyNumberFormat="1" applyFont="1" applyFill="1"/>
    <xf numFmtId="170" fontId="1" fillId="19" borderId="0" xfId="30" applyNumberFormat="1" applyFont="1" applyFill="1"/>
    <xf numFmtId="9" fontId="1" fillId="19" borderId="0" xfId="25" applyFont="1" applyFill="1"/>
    <xf numFmtId="9" fontId="1" fillId="19" borderId="21" xfId="25" applyFont="1" applyFill="1" applyBorder="1"/>
    <xf numFmtId="9" fontId="1" fillId="19" borderId="22" xfId="25" applyFont="1" applyFill="1" applyBorder="1"/>
    <xf numFmtId="9" fontId="1" fillId="27" borderId="22" xfId="25" applyFont="1" applyFill="1" applyBorder="1"/>
    <xf numFmtId="9" fontId="1" fillId="19" borderId="23" xfId="25" applyFont="1" applyFill="1" applyBorder="1"/>
    <xf numFmtId="3" fontId="1" fillId="19" borderId="19" xfId="18" applyNumberFormat="1" applyFont="1" applyFill="1" applyBorder="1"/>
    <xf numFmtId="3" fontId="1" fillId="19" borderId="0" xfId="18" applyNumberFormat="1" applyFont="1" applyFill="1" applyBorder="1"/>
    <xf numFmtId="170" fontId="1" fillId="19" borderId="13" xfId="30" applyNumberFormat="1" applyFont="1" applyFill="1" applyBorder="1"/>
    <xf numFmtId="0" fontId="1" fillId="19" borderId="16" xfId="18" applyFont="1" applyFill="1" applyBorder="1"/>
    <xf numFmtId="0" fontId="1" fillId="19" borderId="24" xfId="18" applyFont="1" applyFill="1" applyBorder="1"/>
    <xf numFmtId="0" fontId="1" fillId="10" borderId="25" xfId="0" applyFont="1" applyFill="1" applyBorder="1" applyAlignment="1">
      <alignment horizontal="right"/>
    </xf>
    <xf numFmtId="0" fontId="1" fillId="19" borderId="15" xfId="18" applyFont="1" applyFill="1" applyBorder="1"/>
    <xf numFmtId="3" fontId="1" fillId="19" borderId="25" xfId="18" applyNumberFormat="1" applyFont="1" applyFill="1" applyBorder="1"/>
    <xf numFmtId="9" fontId="1" fillId="27" borderId="18" xfId="25" applyFont="1" applyFill="1" applyBorder="1"/>
    <xf numFmtId="3" fontId="1" fillId="19" borderId="16" xfId="18" applyNumberFormat="1" applyFont="1" applyFill="1" applyBorder="1"/>
    <xf numFmtId="3" fontId="1" fillId="19" borderId="15" xfId="18" applyNumberFormat="1" applyFont="1" applyFill="1" applyBorder="1"/>
    <xf numFmtId="170" fontId="1" fillId="19" borderId="24" xfId="30" applyNumberFormat="1" applyFont="1" applyFill="1" applyBorder="1"/>
    <xf numFmtId="9" fontId="1" fillId="19" borderId="16" xfId="25" applyFont="1" applyFill="1" applyBorder="1"/>
    <xf numFmtId="9" fontId="1" fillId="19" borderId="24" xfId="25" applyFont="1" applyFill="1" applyBorder="1"/>
    <xf numFmtId="9" fontId="1" fillId="27" borderId="15" xfId="25" applyFont="1" applyFill="1" applyBorder="1"/>
    <xf numFmtId="9" fontId="1" fillId="27" borderId="16" xfId="25" applyFont="1" applyFill="1" applyBorder="1"/>
    <xf numFmtId="170" fontId="1" fillId="19" borderId="15" xfId="30" applyNumberFormat="1" applyFont="1" applyFill="1" applyBorder="1"/>
    <xf numFmtId="9" fontId="7" fillId="27" borderId="15" xfId="25" applyFont="1" applyFill="1" applyBorder="1"/>
    <xf numFmtId="3" fontId="59" fillId="0" borderId="0" xfId="0" applyNumberFormat="1" applyFont="1" applyFill="1" applyAlignment="1">
      <alignment horizontal="right" vertical="center"/>
    </xf>
    <xf numFmtId="3" fontId="36" fillId="23" borderId="0" xfId="0" applyNumberFormat="1" applyFont="1" applyFill="1" applyBorder="1"/>
    <xf numFmtId="170" fontId="1" fillId="0" borderId="0" xfId="0" applyNumberFormat="1" applyFont="1" applyFill="1" applyBorder="1"/>
    <xf numFmtId="3" fontId="1" fillId="0" borderId="0" xfId="0" applyNumberFormat="1" applyFont="1"/>
    <xf numFmtId="3" fontId="64" fillId="23" borderId="0" xfId="0" applyNumberFormat="1" applyFont="1" applyFill="1" applyAlignment="1">
      <alignment horizontal="right" vertical="center"/>
    </xf>
    <xf numFmtId="3" fontId="36" fillId="23" borderId="0" xfId="0" applyNumberFormat="1" applyFont="1" applyFill="1"/>
    <xf numFmtId="3" fontId="64" fillId="24" borderId="0" xfId="0" applyNumberFormat="1" applyFont="1" applyFill="1" applyAlignment="1">
      <alignment horizontal="right" vertical="center"/>
    </xf>
    <xf numFmtId="3" fontId="1" fillId="0" borderId="0" xfId="0" applyNumberFormat="1" applyFont="1" applyFill="1"/>
    <xf numFmtId="3" fontId="38" fillId="23" borderId="0" xfId="0" applyNumberFormat="1" applyFont="1" applyFill="1" applyBorder="1"/>
    <xf numFmtId="3" fontId="1" fillId="0" borderId="26" xfId="0" applyNumberFormat="1" applyFont="1" applyFill="1" applyBorder="1"/>
    <xf numFmtId="3" fontId="1" fillId="23" borderId="0" xfId="18" applyNumberFormat="1" applyFont="1" applyFill="1"/>
    <xf numFmtId="3" fontId="39" fillId="0" borderId="0" xfId="0" applyNumberFormat="1" applyFont="1"/>
    <xf numFmtId="3" fontId="36" fillId="23" borderId="0" xfId="0" applyNumberFormat="1" applyFont="1" applyFill="1" applyBorder="1" applyAlignment="1" applyProtection="1">
      <alignment horizontal="right" vertical="center"/>
    </xf>
    <xf numFmtId="2" fontId="49" fillId="28" borderId="0" xfId="0" applyNumberFormat="1" applyFont="1" applyFill="1" applyBorder="1" applyAlignment="1">
      <alignment horizontal="right" vertical="center"/>
    </xf>
    <xf numFmtId="2" fontId="49" fillId="28" borderId="22" xfId="0" applyNumberFormat="1" applyFont="1" applyFill="1" applyBorder="1" applyAlignment="1">
      <alignment horizontal="right" vertical="center"/>
    </xf>
    <xf numFmtId="3" fontId="67" fillId="28" borderId="0" xfId="0" applyNumberFormat="1" applyFont="1" applyFill="1" applyBorder="1"/>
    <xf numFmtId="0" fontId="67" fillId="28" borderId="0" xfId="0" applyFont="1" applyFill="1" applyBorder="1"/>
    <xf numFmtId="0" fontId="67" fillId="28" borderId="22" xfId="0" applyFont="1" applyFill="1" applyBorder="1"/>
    <xf numFmtId="3" fontId="69" fillId="0" borderId="0" xfId="0" applyNumberFormat="1" applyFont="1" applyAlignment="1">
      <alignment horizontal="right" vertical="center"/>
    </xf>
    <xf numFmtId="3" fontId="69" fillId="0" borderId="0" xfId="0" applyNumberFormat="1" applyFont="1" applyFill="1" applyAlignment="1">
      <alignment horizontal="right" vertical="center"/>
    </xf>
    <xf numFmtId="3" fontId="18" fillId="0" borderId="0" xfId="0" applyNumberFormat="1" applyFont="1" applyFill="1"/>
    <xf numFmtId="0" fontId="70" fillId="0" borderId="30" xfId="0" applyFont="1" applyBorder="1" applyAlignment="1">
      <alignment horizontal="center" vertical="center" wrapText="1"/>
    </xf>
    <xf numFmtId="0" fontId="71" fillId="0" borderId="28" xfId="0" applyFont="1" applyFill="1" applyBorder="1" applyAlignment="1">
      <alignment horizontal="center" vertical="center" wrapText="1"/>
    </xf>
    <xf numFmtId="0" fontId="72" fillId="29" borderId="27" xfId="0" applyFont="1" applyFill="1" applyBorder="1" applyAlignment="1">
      <alignment vertical="center" wrapText="1"/>
    </xf>
    <xf numFmtId="0" fontId="72" fillId="29" borderId="28" xfId="0" applyFont="1" applyFill="1" applyBorder="1" applyAlignment="1">
      <alignment vertical="center" wrapText="1"/>
    </xf>
    <xf numFmtId="0" fontId="1" fillId="0" borderId="27" xfId="0" applyFont="1" applyFill="1" applyBorder="1" applyAlignment="1">
      <alignment vertical="center" wrapText="1"/>
    </xf>
    <xf numFmtId="0" fontId="74" fillId="0" borderId="28" xfId="0" applyFont="1" applyFill="1" applyBorder="1" applyAlignment="1">
      <alignment horizontal="center" vertical="center" wrapText="1"/>
    </xf>
    <xf numFmtId="0" fontId="75" fillId="0" borderId="27" xfId="0" applyFont="1" applyFill="1" applyBorder="1" applyAlignment="1">
      <alignment horizontal="center" vertical="center" wrapText="1"/>
    </xf>
    <xf numFmtId="0" fontId="18" fillId="0" borderId="28" xfId="0" applyFont="1" applyFill="1" applyBorder="1" applyAlignment="1">
      <alignment horizontal="center" vertical="center" wrapText="1"/>
    </xf>
    <xf numFmtId="0" fontId="1" fillId="0" borderId="29" xfId="0" applyFont="1" applyBorder="1" applyAlignment="1">
      <alignment vertical="center" wrapText="1"/>
    </xf>
    <xf numFmtId="0" fontId="18" fillId="0" borderId="30" xfId="0" applyFont="1" applyBorder="1" applyAlignment="1">
      <alignment horizontal="center" vertical="center" wrapText="1"/>
    </xf>
    <xf numFmtId="0" fontId="74" fillId="0" borderId="29" xfId="0" applyFont="1" applyBorder="1" applyAlignment="1">
      <alignment horizontal="center" vertical="center" wrapText="1"/>
    </xf>
    <xf numFmtId="0" fontId="74" fillId="0" borderId="30" xfId="0" applyFont="1" applyBorder="1" applyAlignment="1">
      <alignment horizontal="center" vertical="center" wrapText="1"/>
    </xf>
    <xf numFmtId="0" fontId="18" fillId="0" borderId="29" xfId="0" applyFont="1" applyBorder="1" applyAlignment="1">
      <alignment horizontal="center" vertical="center" wrapText="1"/>
    </xf>
    <xf numFmtId="0" fontId="18" fillId="0" borderId="31" xfId="0" applyFont="1" applyBorder="1" applyAlignment="1">
      <alignment horizontal="center" vertical="center" wrapText="1"/>
    </xf>
    <xf numFmtId="3" fontId="36" fillId="23" borderId="0" xfId="0" applyNumberFormat="1" applyFont="1" applyFill="1" applyBorder="1" applyAlignment="1">
      <alignment wrapText="1"/>
    </xf>
    <xf numFmtId="3" fontId="64" fillId="23" borderId="0" xfId="0" applyNumberFormat="1" applyFont="1" applyFill="1" applyAlignment="1">
      <alignment horizontal="right" vertical="center" wrapText="1"/>
    </xf>
    <xf numFmtId="3" fontId="38" fillId="0" borderId="0" xfId="0" applyNumberFormat="1" applyFont="1" applyFill="1" applyBorder="1" applyAlignment="1">
      <alignment vertical="center" wrapText="1"/>
    </xf>
    <xf numFmtId="3" fontId="36" fillId="23" borderId="0" xfId="0" applyNumberFormat="1" applyFont="1" applyFill="1" applyBorder="1" applyAlignment="1">
      <alignment vertical="center" wrapText="1"/>
    </xf>
    <xf numFmtId="3" fontId="1" fillId="0" borderId="0" xfId="0" applyNumberFormat="1" applyFont="1" applyFill="1" applyBorder="1" applyAlignment="1">
      <alignment vertical="center" wrapText="1"/>
    </xf>
    <xf numFmtId="3" fontId="1" fillId="0" borderId="0" xfId="0" applyNumberFormat="1" applyFont="1" applyAlignment="1">
      <alignment vertical="center" wrapText="1"/>
    </xf>
    <xf numFmtId="3" fontId="36" fillId="23" borderId="0" xfId="0" applyNumberFormat="1" applyFont="1" applyFill="1" applyAlignment="1">
      <alignment vertical="center" wrapText="1"/>
    </xf>
    <xf numFmtId="3" fontId="39" fillId="0" borderId="0" xfId="0" applyNumberFormat="1" applyFont="1" applyFill="1" applyBorder="1" applyAlignment="1">
      <alignment vertical="center" wrapText="1"/>
    </xf>
    <xf numFmtId="3" fontId="36" fillId="0" borderId="0" xfId="0" applyNumberFormat="1" applyFont="1" applyFill="1" applyBorder="1" applyAlignment="1">
      <alignment vertical="center" wrapText="1"/>
    </xf>
    <xf numFmtId="3" fontId="1" fillId="0" borderId="26" xfId="0" applyNumberFormat="1" applyFont="1" applyFill="1" applyBorder="1" applyAlignment="1">
      <alignment vertical="center" wrapText="1"/>
    </xf>
    <xf numFmtId="3" fontId="39" fillId="0" borderId="0" xfId="0" applyNumberFormat="1" applyFont="1" applyAlignment="1">
      <alignment vertical="center" wrapText="1"/>
    </xf>
    <xf numFmtId="3" fontId="15" fillId="0" borderId="0" xfId="0" applyNumberFormat="1" applyFont="1" applyFill="1" applyBorder="1" applyAlignment="1">
      <alignment vertical="center" wrapText="1"/>
    </xf>
    <xf numFmtId="3" fontId="1" fillId="0" borderId="0" xfId="0" applyNumberFormat="1" applyFont="1" applyFill="1" applyAlignment="1">
      <alignment vertical="center" wrapText="1"/>
    </xf>
    <xf numFmtId="3" fontId="18" fillId="0" borderId="0" xfId="0" applyNumberFormat="1" applyFont="1" applyFill="1" applyAlignment="1">
      <alignment vertical="center" wrapText="1"/>
    </xf>
    <xf numFmtId="3" fontId="64" fillId="23" borderId="0" xfId="0" applyNumberFormat="1" applyFont="1" applyFill="1" applyAlignment="1">
      <alignment horizontal="left" vertical="center" wrapText="1"/>
    </xf>
    <xf numFmtId="3" fontId="59" fillId="0" borderId="0" xfId="0" applyNumberFormat="1" applyFont="1" applyAlignment="1">
      <alignment horizontal="left" vertical="center" wrapText="1"/>
    </xf>
    <xf numFmtId="3" fontId="59" fillId="0" borderId="0" xfId="0" applyNumberFormat="1" applyFont="1" applyFill="1" applyAlignment="1">
      <alignment horizontal="left" vertical="center" wrapText="1"/>
    </xf>
    <xf numFmtId="3" fontId="64" fillId="24" borderId="0" xfId="0" applyNumberFormat="1" applyFont="1" applyFill="1" applyAlignment="1">
      <alignment horizontal="left" vertical="center" wrapText="1"/>
    </xf>
    <xf numFmtId="3" fontId="36" fillId="23" borderId="0" xfId="0" applyNumberFormat="1" applyFont="1" applyFill="1" applyBorder="1" applyAlignment="1">
      <alignment horizontal="left" vertical="center" wrapText="1"/>
    </xf>
    <xf numFmtId="3" fontId="22" fillId="0" borderId="0" xfId="0" applyNumberFormat="1" applyFont="1" applyFill="1" applyAlignment="1">
      <alignment horizontal="left" vertical="center" wrapText="1"/>
    </xf>
    <xf numFmtId="3" fontId="65" fillId="0" borderId="0" xfId="0" applyNumberFormat="1" applyFont="1" applyAlignment="1">
      <alignment horizontal="left" vertical="center" wrapText="1"/>
    </xf>
    <xf numFmtId="3" fontId="69" fillId="0" borderId="0" xfId="0" applyNumberFormat="1" applyFont="1" applyAlignment="1">
      <alignment horizontal="left" vertical="center" wrapText="1"/>
    </xf>
    <xf numFmtId="3" fontId="76" fillId="0" borderId="0" xfId="0" applyNumberFormat="1" applyFont="1" applyFill="1" applyBorder="1" applyAlignment="1">
      <alignment vertical="center" wrapText="1"/>
    </xf>
    <xf numFmtId="3" fontId="76" fillId="0" borderId="0" xfId="0" applyNumberFormat="1" applyFont="1" applyFill="1" applyAlignment="1">
      <alignment horizontal="left" vertical="center" wrapText="1"/>
    </xf>
    <xf numFmtId="3" fontId="39" fillId="23" borderId="0" xfId="0" applyNumberFormat="1" applyFont="1" applyFill="1" applyBorder="1" applyAlignment="1">
      <alignment vertical="center" wrapText="1"/>
    </xf>
    <xf numFmtId="3" fontId="36" fillId="23" borderId="0" xfId="0" applyNumberFormat="1" applyFont="1" applyFill="1" applyAlignment="1">
      <alignment horizontal="left" vertical="center" wrapText="1"/>
    </xf>
    <xf numFmtId="3" fontId="36" fillId="24" borderId="0" xfId="0" applyNumberFormat="1" applyFont="1" applyFill="1" applyBorder="1" applyAlignment="1">
      <alignment vertical="center" wrapText="1"/>
    </xf>
    <xf numFmtId="3" fontId="1" fillId="0" borderId="0" xfId="0" applyNumberFormat="1" applyFont="1" applyAlignment="1">
      <alignment horizontal="left" vertical="center" wrapText="1"/>
    </xf>
    <xf numFmtId="3" fontId="77" fillId="0" borderId="0" xfId="0" applyNumberFormat="1" applyFont="1" applyFill="1" applyAlignment="1">
      <alignment horizontal="right" vertical="center"/>
    </xf>
    <xf numFmtId="3" fontId="78" fillId="0" borderId="0" xfId="0" applyNumberFormat="1" applyFont="1" applyFill="1" applyAlignment="1">
      <alignment horizontal="right" vertical="center"/>
    </xf>
    <xf numFmtId="3" fontId="78" fillId="0" borderId="0" xfId="0" applyNumberFormat="1" applyFont="1" applyFill="1" applyBorder="1"/>
    <xf numFmtId="3" fontId="33" fillId="0" borderId="0" xfId="0" applyNumberFormat="1" applyFont="1" applyFill="1" applyBorder="1" applyAlignment="1">
      <alignment vertical="center" wrapText="1"/>
    </xf>
    <xf numFmtId="3" fontId="36" fillId="24" borderId="0" xfId="0" applyNumberFormat="1" applyFont="1" applyFill="1" applyAlignment="1">
      <alignment horizontal="left" vertical="center" wrapText="1"/>
    </xf>
    <xf numFmtId="0" fontId="10" fillId="2" borderId="0" xfId="0" applyFont="1" applyFill="1"/>
    <xf numFmtId="3" fontId="18" fillId="0" borderId="0" xfId="0" applyNumberFormat="1" applyFont="1"/>
    <xf numFmtId="0" fontId="10" fillId="8" borderId="0" xfId="0" applyFont="1" applyFill="1"/>
    <xf numFmtId="0" fontId="30" fillId="12" borderId="0" xfId="0" applyFont="1" applyFill="1" applyAlignment="1">
      <alignment horizontal="left"/>
    </xf>
    <xf numFmtId="0" fontId="17" fillId="16" borderId="0" xfId="18" applyFont="1" applyFill="1"/>
    <xf numFmtId="0" fontId="11" fillId="5" borderId="0" xfId="0" applyFont="1" applyFill="1"/>
    <xf numFmtId="0" fontId="11" fillId="7" borderId="0" xfId="0" applyFont="1" applyFill="1"/>
    <xf numFmtId="0" fontId="22" fillId="17" borderId="0" xfId="0" applyFont="1" applyFill="1" applyAlignment="1">
      <alignment horizontal="right"/>
    </xf>
    <xf numFmtId="3" fontId="1" fillId="0" borderId="0" xfId="0" applyNumberFormat="1" applyFont="1" applyAlignment="1">
      <alignment horizontal="left" wrapText="1"/>
    </xf>
    <xf numFmtId="3" fontId="36" fillId="23" borderId="0" xfId="0" applyNumberFormat="1" applyFont="1" applyFill="1" applyAlignment="1">
      <alignment horizontal="left" wrapText="1"/>
    </xf>
    <xf numFmtId="3" fontId="36" fillId="24" borderId="0" xfId="0" applyNumberFormat="1" applyFont="1" applyFill="1" applyAlignment="1">
      <alignment horizontal="left" wrapText="1"/>
    </xf>
    <xf numFmtId="3" fontId="39" fillId="0" borderId="0" xfId="0" applyNumberFormat="1" applyFont="1" applyAlignment="1">
      <alignment horizontal="left" wrapText="1"/>
    </xf>
    <xf numFmtId="0" fontId="1" fillId="15" borderId="0" xfId="0" applyFont="1" applyFill="1" applyAlignment="1">
      <alignment horizontal="right" wrapText="1"/>
    </xf>
    <xf numFmtId="173" fontId="1" fillId="0" borderId="0" xfId="30" applyNumberFormat="1" applyFont="1" applyFill="1" applyAlignment="1">
      <alignment horizontal="right" vertical="center"/>
    </xf>
    <xf numFmtId="173" fontId="2" fillId="0" borderId="0" xfId="0" applyNumberFormat="1" applyFont="1" applyFill="1" applyBorder="1" applyAlignment="1" applyProtection="1">
      <alignment horizontal="right" vertical="center"/>
    </xf>
    <xf numFmtId="173" fontId="1" fillId="0" borderId="0" xfId="0" applyNumberFormat="1" applyFont="1" applyFill="1" applyBorder="1" applyAlignment="1" applyProtection="1">
      <alignment horizontal="right" vertical="center"/>
    </xf>
    <xf numFmtId="173" fontId="1" fillId="0" borderId="0" xfId="0" applyNumberFormat="1" applyFont="1" applyFill="1" applyBorder="1"/>
    <xf numFmtId="173" fontId="18" fillId="0" borderId="0" xfId="0" applyNumberFormat="1" applyFont="1" applyFill="1" applyBorder="1"/>
    <xf numFmtId="173" fontId="1" fillId="0" borderId="0" xfId="0" applyNumberFormat="1" applyFont="1" applyFill="1" applyBorder="1" applyAlignment="1" applyProtection="1">
      <alignment horizontal="left" vertical="center" wrapText="1"/>
    </xf>
    <xf numFmtId="173" fontId="1" fillId="0" borderId="0" xfId="30" applyNumberFormat="1" applyFont="1" applyFill="1" applyAlignment="1">
      <alignment horizontal="left" vertical="center" wrapText="1"/>
    </xf>
    <xf numFmtId="173" fontId="1" fillId="0" borderId="0" xfId="0" applyNumberFormat="1" applyFont="1" applyFill="1" applyBorder="1" applyAlignment="1">
      <alignment horizontal="left" vertical="center" wrapText="1"/>
    </xf>
    <xf numFmtId="173" fontId="2" fillId="0" borderId="0" xfId="0" applyNumberFormat="1" applyFont="1" applyFill="1" applyBorder="1" applyAlignment="1" applyProtection="1">
      <alignment horizontal="left" vertical="center" wrapText="1"/>
    </xf>
    <xf numFmtId="0" fontId="1" fillId="15" borderId="0" xfId="0" applyFont="1" applyFill="1" applyAlignment="1">
      <alignment wrapText="1"/>
    </xf>
    <xf numFmtId="3" fontId="39" fillId="0" borderId="0" xfId="0" applyNumberFormat="1" applyFont="1" applyFill="1" applyBorder="1" applyAlignment="1" applyProtection="1">
      <alignment horizontal="right" vertical="center"/>
    </xf>
    <xf numFmtId="3" fontId="36" fillId="0" borderId="0" xfId="0" applyNumberFormat="1" applyFont="1" applyFill="1"/>
    <xf numFmtId="3" fontId="39" fillId="0" borderId="0" xfId="0" applyNumberFormat="1" applyFont="1" applyFill="1"/>
    <xf numFmtId="173" fontId="59" fillId="0" borderId="0" xfId="30" applyNumberFormat="1" applyFont="1" applyFill="1" applyBorder="1" applyAlignment="1">
      <alignment horizontal="right" vertical="center"/>
    </xf>
    <xf numFmtId="173" fontId="59" fillId="0" borderId="0" xfId="30" applyNumberFormat="1" applyFont="1" applyFill="1" applyBorder="1" applyAlignment="1" applyProtection="1">
      <alignment horizontal="right" vertical="center"/>
    </xf>
    <xf numFmtId="173" fontId="64" fillId="0" borderId="0" xfId="30" applyNumberFormat="1" applyFont="1" applyFill="1" applyBorder="1" applyAlignment="1" applyProtection="1">
      <alignment horizontal="right" vertical="center"/>
    </xf>
    <xf numFmtId="173" fontId="66" fillId="0" borderId="0" xfId="30" applyNumberFormat="1" applyFont="1" applyFill="1" applyBorder="1" applyAlignment="1" applyProtection="1">
      <alignment horizontal="right" vertical="center"/>
    </xf>
    <xf numFmtId="3" fontId="31" fillId="0" borderId="0" xfId="0" applyNumberFormat="1" applyFont="1" applyAlignment="1">
      <alignment wrapText="1"/>
    </xf>
    <xf numFmtId="3" fontId="36" fillId="0" borderId="0" xfId="0" applyNumberFormat="1" applyFont="1" applyAlignment="1">
      <alignment horizontal="left" vertical="center" wrapText="1"/>
    </xf>
    <xf numFmtId="3" fontId="31" fillId="0" borderId="0" xfId="0" applyNumberFormat="1" applyFont="1" applyFill="1" applyBorder="1" applyAlignment="1">
      <alignment wrapText="1"/>
    </xf>
    <xf numFmtId="0" fontId="22" fillId="17" borderId="0" xfId="0" applyFont="1" applyFill="1" applyAlignment="1">
      <alignment horizontal="right" wrapText="1"/>
    </xf>
    <xf numFmtId="3" fontId="2" fillId="0" borderId="0" xfId="0" applyNumberFormat="1" applyFont="1" applyFill="1" applyBorder="1" applyAlignment="1" applyProtection="1">
      <alignment horizontal="right" vertical="center" wrapText="1"/>
    </xf>
    <xf numFmtId="0" fontId="22" fillId="17" borderId="0" xfId="0" applyFont="1" applyFill="1" applyBorder="1" applyAlignment="1">
      <alignment horizontal="right" wrapText="1"/>
    </xf>
    <xf numFmtId="3" fontId="39" fillId="0" borderId="0" xfId="0" applyNumberFormat="1" applyFont="1" applyFill="1" applyBorder="1" applyAlignment="1" applyProtection="1">
      <alignment horizontal="right" vertical="center" wrapText="1"/>
    </xf>
    <xf numFmtId="0" fontId="1" fillId="15" borderId="0" xfId="0" applyFont="1" applyFill="1" applyBorder="1" applyAlignment="1">
      <alignment horizontal="right" wrapText="1"/>
    </xf>
    <xf numFmtId="3" fontId="69" fillId="0" borderId="0" xfId="0" applyNumberFormat="1" applyFont="1" applyAlignment="1">
      <alignment horizontal="left" wrapText="1"/>
    </xf>
    <xf numFmtId="3" fontId="36" fillId="0" borderId="0" xfId="0" applyNumberFormat="1" applyFont="1" applyFill="1" applyAlignment="1">
      <alignment horizontal="center" vertical="center" wrapText="1"/>
    </xf>
    <xf numFmtId="0" fontId="81" fillId="0" borderId="0" xfId="0" applyFont="1" applyFill="1"/>
    <xf numFmtId="0" fontId="8" fillId="0" borderId="0" xfId="26" applyFont="1" applyFill="1" applyBorder="1"/>
    <xf numFmtId="0" fontId="8" fillId="0" borderId="0" xfId="26" applyFont="1" applyFill="1" applyBorder="1" applyAlignment="1">
      <alignment horizontal="right"/>
    </xf>
    <xf numFmtId="3" fontId="67" fillId="0" borderId="0" xfId="0" applyNumberFormat="1" applyFont="1" applyBorder="1" applyAlignment="1">
      <alignment horizontal="right"/>
    </xf>
    <xf numFmtId="3" fontId="67" fillId="0" borderId="22" xfId="0" applyNumberFormat="1" applyFont="1" applyBorder="1" applyAlignment="1">
      <alignment horizontal="right"/>
    </xf>
    <xf numFmtId="0" fontId="67" fillId="28" borderId="0" xfId="0" applyFont="1" applyFill="1" applyBorder="1" applyAlignment="1">
      <alignment horizontal="right"/>
    </xf>
    <xf numFmtId="0" fontId="68" fillId="28" borderId="0" xfId="0" applyFont="1" applyFill="1" applyBorder="1" applyAlignment="1">
      <alignment horizontal="center" vertical="center" wrapText="1"/>
    </xf>
    <xf numFmtId="0" fontId="11" fillId="3" borderId="0" xfId="0" applyFont="1" applyFill="1" applyAlignment="1">
      <alignment vertical="top"/>
    </xf>
    <xf numFmtId="0" fontId="85" fillId="3" borderId="0" xfId="0" applyFont="1" applyFill="1" applyAlignment="1">
      <alignment vertical="top"/>
    </xf>
    <xf numFmtId="0" fontId="11" fillId="3" borderId="0" xfId="0" applyFont="1" applyFill="1" applyAlignment="1">
      <alignment vertical="top" wrapText="1"/>
    </xf>
    <xf numFmtId="0" fontId="1" fillId="30" borderId="0" xfId="0" applyFont="1" applyFill="1" applyAlignment="1">
      <alignment vertical="top"/>
    </xf>
    <xf numFmtId="0" fontId="17" fillId="31" borderId="0" xfId="0" applyFont="1" applyFill="1" applyAlignment="1">
      <alignment vertical="top"/>
    </xf>
    <xf numFmtId="0" fontId="84" fillId="31" borderId="0" xfId="0" applyFont="1" applyFill="1" applyAlignment="1">
      <alignment vertical="top"/>
    </xf>
    <xf numFmtId="0" fontId="1" fillId="30" borderId="0" xfId="0" applyFont="1" applyFill="1" applyAlignment="1">
      <alignment vertical="top" wrapText="1"/>
    </xf>
    <xf numFmtId="0" fontId="1" fillId="30" borderId="0" xfId="0" applyFont="1" applyFill="1"/>
    <xf numFmtId="0" fontId="1" fillId="30" borderId="0" xfId="0" applyFont="1" applyFill="1" applyAlignment="1">
      <alignment horizontal="right"/>
    </xf>
    <xf numFmtId="0" fontId="7" fillId="30" borderId="0" xfId="0" applyFont="1" applyFill="1" applyAlignment="1">
      <alignment horizontal="right"/>
    </xf>
    <xf numFmtId="17" fontId="1" fillId="30" borderId="0" xfId="0" applyNumberFormat="1" applyFont="1" applyFill="1"/>
    <xf numFmtId="3" fontId="15" fillId="19" borderId="32" xfId="3" applyNumberFormat="1" applyFont="1" applyFill="1" applyBorder="1"/>
    <xf numFmtId="3" fontId="15" fillId="19" borderId="33" xfId="3" applyNumberFormat="1" applyFont="1" applyFill="1" applyBorder="1"/>
    <xf numFmtId="3" fontId="7" fillId="19" borderId="34" xfId="0" applyNumberFormat="1" applyFont="1" applyFill="1" applyBorder="1"/>
    <xf numFmtId="3" fontId="15" fillId="19" borderId="35" xfId="3" applyNumberFormat="1" applyFont="1" applyFill="1" applyBorder="1"/>
    <xf numFmtId="3" fontId="15" fillId="19" borderId="0" xfId="3" applyNumberFormat="1" applyFont="1" applyFill="1"/>
    <xf numFmtId="3" fontId="7" fillId="19" borderId="36" xfId="0" applyNumberFormat="1" applyFont="1" applyFill="1" applyBorder="1"/>
    <xf numFmtId="3" fontId="15" fillId="19" borderId="37" xfId="3" applyNumberFormat="1" applyFont="1" applyFill="1" applyBorder="1"/>
    <xf numFmtId="3" fontId="15" fillId="19" borderId="38" xfId="3" applyNumberFormat="1" applyFont="1" applyFill="1" applyBorder="1"/>
    <xf numFmtId="3" fontId="7" fillId="19" borderId="39" xfId="0" applyNumberFormat="1" applyFont="1" applyFill="1" applyBorder="1"/>
    <xf numFmtId="0" fontId="86" fillId="30" borderId="0" xfId="0" applyFont="1" applyFill="1" applyAlignment="1">
      <alignment vertical="top"/>
    </xf>
    <xf numFmtId="0" fontId="86" fillId="19" borderId="0" xfId="0" applyFont="1" applyFill="1" applyAlignment="1">
      <alignment vertical="top"/>
    </xf>
    <xf numFmtId="0" fontId="86" fillId="19" borderId="0" xfId="0" applyFont="1" applyFill="1" applyAlignment="1">
      <alignment vertical="top" wrapText="1"/>
    </xf>
    <xf numFmtId="0" fontId="87" fillId="19" borderId="0" xfId="0" applyFont="1" applyFill="1" applyAlignment="1">
      <alignment vertical="top"/>
    </xf>
    <xf numFmtId="0" fontId="1" fillId="19" borderId="0" xfId="0" applyFont="1" applyFill="1" applyAlignment="1">
      <alignment vertical="top"/>
    </xf>
    <xf numFmtId="0" fontId="1" fillId="19" borderId="0" xfId="0" applyFont="1" applyFill="1" applyAlignment="1">
      <alignment vertical="top" wrapText="1"/>
    </xf>
    <xf numFmtId="0" fontId="18" fillId="19" borderId="0" xfId="0" applyFont="1" applyFill="1" applyAlignment="1">
      <alignment horizontal="right"/>
    </xf>
    <xf numFmtId="0" fontId="18" fillId="19" borderId="0" xfId="0" applyFont="1" applyFill="1"/>
    <xf numFmtId="0" fontId="1" fillId="19" borderId="0" xfId="0" applyFont="1" applyFill="1"/>
    <xf numFmtId="0" fontId="16" fillId="19" borderId="0" xfId="0" applyFont="1" applyFill="1"/>
    <xf numFmtId="0" fontId="1" fillId="19" borderId="0" xfId="0" applyFont="1" applyFill="1" applyAlignment="1">
      <alignment horizontal="right"/>
    </xf>
    <xf numFmtId="3" fontId="15" fillId="30" borderId="40" xfId="0" applyNumberFormat="1" applyFont="1" applyFill="1" applyBorder="1" applyAlignment="1">
      <alignment horizontal="right" vertical="top"/>
    </xf>
    <xf numFmtId="9" fontId="15" fillId="30" borderId="41" xfId="25" applyFont="1" applyFill="1" applyBorder="1" applyAlignment="1">
      <alignment horizontal="right" vertical="top"/>
    </xf>
    <xf numFmtId="9" fontId="1" fillId="30" borderId="41" xfId="25" applyFont="1" applyFill="1" applyBorder="1" applyAlignment="1">
      <alignment horizontal="right" vertical="top"/>
    </xf>
    <xf numFmtId="2" fontId="36" fillId="19" borderId="0" xfId="0" applyNumberFormat="1" applyFont="1" applyFill="1" applyAlignment="1">
      <alignment horizontal="right" vertical="center"/>
    </xf>
    <xf numFmtId="0" fontId="7" fillId="30" borderId="40" xfId="0" applyFont="1" applyFill="1" applyBorder="1" applyAlignment="1">
      <alignment horizontal="right"/>
    </xf>
    <xf numFmtId="9" fontId="15" fillId="30" borderId="32" xfId="25" applyFont="1" applyFill="1" applyBorder="1" applyAlignment="1">
      <alignment horizontal="right" vertical="top"/>
    </xf>
    <xf numFmtId="9" fontId="15" fillId="30" borderId="33" xfId="25" applyFont="1" applyFill="1" applyBorder="1" applyAlignment="1">
      <alignment horizontal="right" vertical="top"/>
    </xf>
    <xf numFmtId="9" fontId="15" fillId="30" borderId="34" xfId="25" applyFont="1" applyFill="1" applyBorder="1" applyAlignment="1">
      <alignment horizontal="right" vertical="top"/>
    </xf>
    <xf numFmtId="0" fontId="37" fillId="19" borderId="0" xfId="0" applyFont="1" applyFill="1"/>
    <xf numFmtId="0" fontId="1" fillId="30" borderId="42" xfId="0" applyFont="1" applyFill="1" applyBorder="1"/>
    <xf numFmtId="9" fontId="37" fillId="19" borderId="0" xfId="0" applyNumberFormat="1" applyFont="1" applyFill="1"/>
    <xf numFmtId="2" fontId="8" fillId="19" borderId="0" xfId="0" applyNumberFormat="1" applyFont="1" applyFill="1" applyAlignment="1">
      <alignment horizontal="right" vertical="center"/>
    </xf>
    <xf numFmtId="3" fontId="1" fillId="30" borderId="37" xfId="0" applyNumberFormat="1" applyFont="1" applyFill="1" applyBorder="1" applyAlignment="1">
      <alignment horizontal="right"/>
    </xf>
    <xf numFmtId="3" fontId="1" fillId="30" borderId="38" xfId="0" applyNumberFormat="1" applyFont="1" applyFill="1" applyBorder="1" applyAlignment="1">
      <alignment horizontal="right"/>
    </xf>
    <xf numFmtId="3" fontId="1" fillId="30" borderId="39" xfId="0" applyNumberFormat="1" applyFont="1" applyFill="1" applyBorder="1" applyAlignment="1">
      <alignment horizontal="right"/>
    </xf>
    <xf numFmtId="3" fontId="7" fillId="30" borderId="41" xfId="0" applyNumberFormat="1" applyFont="1" applyFill="1" applyBorder="1"/>
    <xf numFmtId="3" fontId="1" fillId="19" borderId="0" xfId="0" applyNumberFormat="1" applyFont="1" applyFill="1"/>
    <xf numFmtId="0" fontId="7" fillId="19" borderId="0" xfId="0" applyFont="1" applyFill="1" applyAlignment="1">
      <alignment horizontal="right"/>
    </xf>
    <xf numFmtId="3" fontId="7" fillId="19" borderId="0" xfId="0" applyNumberFormat="1" applyFont="1" applyFill="1"/>
    <xf numFmtId="0" fontId="7" fillId="19" borderId="0" xfId="0" applyFont="1" applyFill="1" applyAlignment="1">
      <alignment vertical="top"/>
    </xf>
    <xf numFmtId="0" fontId="1" fillId="30" borderId="43" xfId="0" applyFont="1" applyFill="1" applyBorder="1" applyAlignment="1">
      <alignment horizontal="right"/>
    </xf>
    <xf numFmtId="3" fontId="1" fillId="30" borderId="44" xfId="0" applyNumberFormat="1" applyFont="1" applyFill="1" applyBorder="1" applyAlignment="1">
      <alignment horizontal="right"/>
    </xf>
    <xf numFmtId="3" fontId="1" fillId="30" borderId="45" xfId="0" applyNumberFormat="1" applyFont="1" applyFill="1" applyBorder="1" applyAlignment="1">
      <alignment horizontal="right"/>
    </xf>
    <xf numFmtId="3" fontId="1" fillId="19" borderId="0" xfId="0" applyNumberFormat="1" applyFont="1" applyFill="1" applyAlignment="1">
      <alignment horizontal="right"/>
    </xf>
    <xf numFmtId="3" fontId="1" fillId="30" borderId="32" xfId="0" applyNumberFormat="1" applyFont="1" applyFill="1" applyBorder="1" applyAlignment="1">
      <alignment horizontal="right"/>
    </xf>
    <xf numFmtId="9" fontId="15" fillId="30" borderId="33" xfId="25" applyFont="1" applyFill="1" applyBorder="1" applyAlignment="1" applyProtection="1">
      <alignment horizontal="right" vertical="top"/>
    </xf>
    <xf numFmtId="0" fontId="7" fillId="30" borderId="34" xfId="0" applyFont="1" applyFill="1" applyBorder="1"/>
    <xf numFmtId="0" fontId="1" fillId="30" borderId="35" xfId="0" applyFont="1" applyFill="1" applyBorder="1"/>
    <xf numFmtId="3" fontId="1" fillId="30" borderId="0" xfId="0" applyNumberFormat="1" applyFont="1" applyFill="1" applyAlignment="1">
      <alignment horizontal="right"/>
    </xf>
    <xf numFmtId="3" fontId="7" fillId="30" borderId="36" xfId="0" applyNumberFormat="1" applyFont="1" applyFill="1" applyBorder="1"/>
    <xf numFmtId="0" fontId="1" fillId="30" borderId="37" xfId="0" applyFont="1" applyFill="1" applyBorder="1"/>
    <xf numFmtId="3" fontId="7" fillId="30" borderId="39" xfId="0" applyNumberFormat="1" applyFont="1" applyFill="1" applyBorder="1"/>
    <xf numFmtId="0" fontId="88" fillId="19" borderId="0" xfId="0" applyFont="1" applyFill="1"/>
    <xf numFmtId="0" fontId="1" fillId="30" borderId="32" xfId="0" applyFont="1" applyFill="1" applyBorder="1"/>
    <xf numFmtId="9" fontId="15" fillId="30" borderId="34" xfId="25" applyFont="1" applyFill="1" applyBorder="1" applyAlignment="1" applyProtection="1">
      <alignment horizontal="right" vertical="top"/>
    </xf>
    <xf numFmtId="174" fontId="1" fillId="19" borderId="0" xfId="25" applyNumberFormat="1" applyFont="1" applyFill="1" applyProtection="1"/>
    <xf numFmtId="9" fontId="15" fillId="30" borderId="0" xfId="25" applyFont="1" applyFill="1" applyBorder="1" applyAlignment="1" applyProtection="1">
      <alignment horizontal="right" vertical="top"/>
    </xf>
    <xf numFmtId="9" fontId="15" fillId="30" borderId="36" xfId="25" applyFont="1" applyFill="1" applyBorder="1" applyAlignment="1" applyProtection="1">
      <alignment horizontal="right" vertical="top"/>
    </xf>
    <xf numFmtId="9" fontId="15" fillId="30" borderId="38" xfId="25" applyFont="1" applyFill="1" applyBorder="1" applyAlignment="1" applyProtection="1">
      <alignment horizontal="right" vertical="top"/>
    </xf>
    <xf numFmtId="9" fontId="15" fillId="30" borderId="39" xfId="25" applyFont="1" applyFill="1" applyBorder="1" applyAlignment="1" applyProtection="1">
      <alignment horizontal="right" vertical="top"/>
    </xf>
    <xf numFmtId="174" fontId="37" fillId="19" borderId="0" xfId="25" applyNumberFormat="1" applyFont="1" applyFill="1" applyAlignment="1" applyProtection="1">
      <alignment horizontal="right"/>
    </xf>
    <xf numFmtId="9" fontId="1" fillId="30" borderId="33" xfId="25" applyFont="1" applyFill="1" applyBorder="1" applyProtection="1"/>
    <xf numFmtId="9" fontId="1" fillId="30" borderId="34" xfId="25" applyFont="1" applyFill="1" applyBorder="1" applyProtection="1"/>
    <xf numFmtId="9" fontId="1" fillId="30" borderId="0" xfId="25" applyFont="1" applyFill="1" applyBorder="1" applyProtection="1"/>
    <xf numFmtId="9" fontId="1" fillId="30" borderId="36" xfId="25" applyFont="1" applyFill="1" applyBorder="1" applyProtection="1"/>
    <xf numFmtId="9" fontId="1" fillId="30" borderId="38" xfId="25" applyFont="1" applyFill="1" applyBorder="1" applyProtection="1"/>
    <xf numFmtId="9" fontId="1" fillId="30" borderId="39" xfId="25" applyFont="1" applyFill="1" applyBorder="1" applyProtection="1"/>
    <xf numFmtId="3" fontId="1" fillId="30" borderId="33" xfId="0" applyNumberFormat="1" applyFont="1" applyFill="1" applyBorder="1" applyAlignment="1">
      <alignment horizontal="right"/>
    </xf>
    <xf numFmtId="3" fontId="1" fillId="30" borderId="34" xfId="0" applyNumberFormat="1" applyFont="1" applyFill="1" applyBorder="1" applyAlignment="1">
      <alignment horizontal="right"/>
    </xf>
    <xf numFmtId="3" fontId="1" fillId="30" borderId="36" xfId="0" applyNumberFormat="1" applyFont="1" applyFill="1" applyBorder="1" applyAlignment="1">
      <alignment horizontal="right"/>
    </xf>
    <xf numFmtId="3" fontId="1" fillId="19" borderId="0" xfId="25" applyNumberFormat="1" applyFont="1" applyFill="1" applyProtection="1"/>
    <xf numFmtId="3" fontId="1" fillId="19" borderId="0" xfId="0" applyNumberFormat="1" applyFont="1" applyFill="1" applyAlignment="1">
      <alignment vertical="top"/>
    </xf>
    <xf numFmtId="3" fontId="7" fillId="30" borderId="34" xfId="0" applyNumberFormat="1" applyFont="1" applyFill="1" applyBorder="1" applyAlignment="1">
      <alignment horizontal="right"/>
    </xf>
    <xf numFmtId="0" fontId="1" fillId="30" borderId="46" xfId="0" applyFont="1" applyFill="1" applyBorder="1"/>
    <xf numFmtId="3" fontId="1" fillId="30" borderId="47" xfId="0" applyNumberFormat="1" applyFont="1" applyFill="1" applyBorder="1" applyAlignment="1">
      <alignment horizontal="right"/>
    </xf>
    <xf numFmtId="3" fontId="7" fillId="30" borderId="48" xfId="0" applyNumberFormat="1" applyFont="1" applyFill="1" applyBorder="1" applyAlignment="1">
      <alignment horizontal="right"/>
    </xf>
    <xf numFmtId="3" fontId="7" fillId="30" borderId="36" xfId="0" applyNumberFormat="1" applyFont="1" applyFill="1" applyBorder="1" applyAlignment="1">
      <alignment horizontal="right"/>
    </xf>
    <xf numFmtId="0" fontId="1" fillId="30" borderId="49" xfId="0" applyFont="1" applyFill="1" applyBorder="1"/>
    <xf numFmtId="3" fontId="7" fillId="30" borderId="50" xfId="0" applyNumberFormat="1" applyFont="1" applyFill="1" applyBorder="1" applyAlignment="1">
      <alignment horizontal="right"/>
    </xf>
    <xf numFmtId="3" fontId="7" fillId="30" borderId="39" xfId="0" applyNumberFormat="1" applyFont="1" applyFill="1" applyBorder="1" applyAlignment="1">
      <alignment horizontal="right"/>
    </xf>
    <xf numFmtId="0" fontId="1" fillId="30" borderId="51" xfId="0" applyFont="1" applyFill="1" applyBorder="1"/>
    <xf numFmtId="3" fontId="1" fillId="30" borderId="52" xfId="0" applyNumberFormat="1" applyFont="1" applyFill="1" applyBorder="1" applyAlignment="1">
      <alignment horizontal="right"/>
    </xf>
    <xf numFmtId="3" fontId="7" fillId="30" borderId="53" xfId="0" applyNumberFormat="1" applyFont="1" applyFill="1" applyBorder="1" applyAlignment="1">
      <alignment horizontal="right"/>
    </xf>
    <xf numFmtId="0" fontId="1" fillId="19" borderId="0" xfId="0" applyFont="1" applyFill="1" applyAlignment="1">
      <alignment horizontal="right" vertical="top" wrapText="1"/>
    </xf>
    <xf numFmtId="0" fontId="1" fillId="19" borderId="0" xfId="0" applyFont="1" applyFill="1" applyAlignment="1">
      <alignment horizontal="right" vertical="top"/>
    </xf>
    <xf numFmtId="0" fontId="8" fillId="19" borderId="0" xfId="0" applyFont="1" applyFill="1" applyAlignment="1">
      <alignment vertical="top" wrapText="1"/>
    </xf>
    <xf numFmtId="3" fontId="89" fillId="19" borderId="0" xfId="0" applyNumberFormat="1" applyFont="1" applyFill="1" applyAlignment="1">
      <alignment horizontal="right"/>
    </xf>
    <xf numFmtId="3" fontId="7" fillId="19" borderId="0" xfId="0" applyNumberFormat="1" applyFont="1" applyFill="1" applyAlignment="1">
      <alignment vertical="top"/>
    </xf>
    <xf numFmtId="3" fontId="36" fillId="19" borderId="0" xfId="0" applyNumberFormat="1" applyFont="1" applyFill="1" applyAlignment="1">
      <alignment horizontal="right"/>
    </xf>
    <xf numFmtId="3" fontId="8" fillId="19" borderId="0" xfId="0" applyNumberFormat="1" applyFont="1" applyFill="1" applyAlignment="1">
      <alignment horizontal="right"/>
    </xf>
    <xf numFmtId="3" fontId="90" fillId="19" borderId="0" xfId="0" applyNumberFormat="1" applyFont="1" applyFill="1" applyAlignment="1">
      <alignment horizontal="right"/>
    </xf>
    <xf numFmtId="3" fontId="15" fillId="19" borderId="0" xfId="0" applyNumberFormat="1" applyFont="1" applyFill="1" applyAlignment="1">
      <alignment horizontal="right"/>
    </xf>
    <xf numFmtId="3" fontId="64" fillId="0" borderId="0" xfId="0" applyNumberFormat="1" applyFont="1" applyAlignment="1">
      <alignment horizontal="right" vertical="center"/>
    </xf>
    <xf numFmtId="3" fontId="1" fillId="0" borderId="0" xfId="0" applyNumberFormat="1" applyFont="1" applyBorder="1"/>
    <xf numFmtId="3" fontId="91" fillId="0" borderId="0" xfId="0" applyNumberFormat="1" applyFont="1" applyFill="1" applyAlignment="1">
      <alignment horizontal="right" vertical="center"/>
    </xf>
    <xf numFmtId="3" fontId="91" fillId="23" borderId="0" xfId="0" applyNumberFormat="1" applyFont="1" applyFill="1" applyBorder="1"/>
    <xf numFmtId="3" fontId="91" fillId="0" borderId="0" xfId="0" applyNumberFormat="1" applyFont="1" applyFill="1" applyBorder="1" applyAlignment="1" applyProtection="1">
      <alignment horizontal="right" vertical="center"/>
    </xf>
    <xf numFmtId="3" fontId="91" fillId="0" borderId="0" xfId="0" applyNumberFormat="1" applyFont="1" applyFill="1" applyBorder="1"/>
    <xf numFmtId="3" fontId="37" fillId="0" borderId="0" xfId="0" applyNumberFormat="1" applyFont="1" applyFill="1" applyBorder="1"/>
    <xf numFmtId="3" fontId="37" fillId="0" borderId="0" xfId="0" applyNumberFormat="1" applyFont="1" applyFill="1" applyBorder="1" applyAlignment="1" applyProtection="1">
      <alignment horizontal="right" vertical="center"/>
    </xf>
    <xf numFmtId="173" fontId="37" fillId="0" borderId="0" xfId="0" applyNumberFormat="1" applyFont="1" applyFill="1" applyBorder="1" applyAlignment="1" applyProtection="1">
      <alignment horizontal="right" vertical="center"/>
    </xf>
    <xf numFmtId="173" fontId="37" fillId="0" borderId="0" xfId="30" applyNumberFormat="1" applyFont="1" applyFill="1" applyAlignment="1">
      <alignment horizontal="right" vertical="center"/>
    </xf>
    <xf numFmtId="0" fontId="17" fillId="32" borderId="0" xfId="31" applyFont="1" applyFill="1"/>
    <xf numFmtId="0" fontId="84" fillId="32" borderId="0" xfId="31" applyFont="1" applyFill="1"/>
    <xf numFmtId="0" fontId="92" fillId="19" borderId="0" xfId="31" applyFont="1" applyFill="1"/>
    <xf numFmtId="0" fontId="16" fillId="19" borderId="0" xfId="31" applyFont="1" applyFill="1" applyAlignment="1">
      <alignment horizontal="right"/>
    </xf>
    <xf numFmtId="0" fontId="7" fillId="19" borderId="0" xfId="31" applyFont="1" applyFill="1" applyAlignment="1">
      <alignment horizontal="right"/>
    </xf>
    <xf numFmtId="3" fontId="15" fillId="0" borderId="0" xfId="31" applyNumberFormat="1" applyFont="1"/>
    <xf numFmtId="0" fontId="37" fillId="19" borderId="0" xfId="31" applyFont="1" applyFill="1" applyAlignment="1">
      <alignment horizontal="right"/>
    </xf>
    <xf numFmtId="175" fontId="12" fillId="19" borderId="0" xfId="31" applyNumberFormat="1" applyFont="1" applyFill="1" applyAlignment="1">
      <alignment horizontal="right"/>
    </xf>
    <xf numFmtId="3" fontId="15" fillId="0" borderId="0" xfId="40" applyNumberFormat="1" applyFont="1" applyFill="1">
      <alignment horizontal="right"/>
    </xf>
    <xf numFmtId="3" fontId="1" fillId="19" borderId="0" xfId="31" applyNumberFormat="1" applyFill="1"/>
    <xf numFmtId="3" fontId="37" fillId="19" borderId="0" xfId="31" applyNumberFormat="1" applyFont="1" applyFill="1"/>
    <xf numFmtId="3" fontId="1" fillId="19" borderId="54" xfId="31" applyNumberFormat="1" applyFill="1" applyBorder="1"/>
    <xf numFmtId="3" fontId="1" fillId="19" borderId="55" xfId="31" applyNumberFormat="1" applyFill="1" applyBorder="1"/>
    <xf numFmtId="3" fontId="1" fillId="19" borderId="56" xfId="31" applyNumberFormat="1" applyFill="1" applyBorder="1"/>
    <xf numFmtId="0" fontId="37" fillId="19" borderId="0" xfId="31" applyFont="1" applyFill="1"/>
    <xf numFmtId="0" fontId="22" fillId="0" borderId="0" xfId="38" applyFont="1" applyFill="1"/>
    <xf numFmtId="170" fontId="22" fillId="0" borderId="0" xfId="30" applyNumberFormat="1" applyFont="1" applyFill="1"/>
    <xf numFmtId="170" fontId="22" fillId="0" borderId="0" xfId="38" applyNumberFormat="1" applyFont="1" applyFill="1"/>
    <xf numFmtId="9" fontId="22" fillId="0" borderId="0" xfId="25" applyFont="1" applyFill="1"/>
    <xf numFmtId="9" fontId="22" fillId="0" borderId="0" xfId="38" applyNumberFormat="1" applyFont="1" applyFill="1"/>
    <xf numFmtId="0" fontId="1" fillId="28" borderId="0" xfId="0" applyFont="1" applyFill="1"/>
    <xf numFmtId="0" fontId="18" fillId="28" borderId="0" xfId="0" applyFont="1" applyFill="1" applyAlignment="1">
      <alignment horizontal="right"/>
    </xf>
    <xf numFmtId="0" fontId="18" fillId="28" borderId="0" xfId="0" applyFont="1" applyFill="1"/>
    <xf numFmtId="0" fontId="16" fillId="28" borderId="0" xfId="0" applyFont="1" applyFill="1"/>
    <xf numFmtId="0" fontId="1" fillId="28" borderId="0" xfId="0" applyFont="1" applyFill="1" applyAlignment="1">
      <alignment horizontal="right"/>
    </xf>
    <xf numFmtId="3" fontId="15" fillId="0" borderId="0" xfId="0" applyNumberFormat="1" applyFont="1" applyAlignment="1">
      <alignment horizontal="right"/>
    </xf>
    <xf numFmtId="2" fontId="8" fillId="28" borderId="0" xfId="0" applyNumberFormat="1" applyFont="1" applyFill="1" applyAlignment="1">
      <alignment horizontal="right" vertical="center"/>
    </xf>
    <xf numFmtId="3" fontId="1" fillId="28" borderId="0" xfId="0" applyNumberFormat="1" applyFont="1" applyFill="1" applyBorder="1" applyAlignment="1">
      <alignment horizontal="right"/>
    </xf>
    <xf numFmtId="0" fontId="7" fillId="28" borderId="0" xfId="0" applyFont="1" applyFill="1" applyAlignment="1">
      <alignment horizontal="right"/>
    </xf>
    <xf numFmtId="0" fontId="93" fillId="19" borderId="0" xfId="0" applyFont="1" applyFill="1"/>
    <xf numFmtId="0" fontId="92" fillId="19" borderId="0" xfId="0" applyFont="1" applyFill="1"/>
    <xf numFmtId="0" fontId="16" fillId="19" borderId="0" xfId="0" applyFont="1" applyFill="1" applyAlignment="1">
      <alignment horizontal="right"/>
    </xf>
    <xf numFmtId="0" fontId="8" fillId="19" borderId="0" xfId="0" applyFont="1" applyFill="1" applyAlignment="1">
      <alignment wrapText="1"/>
    </xf>
    <xf numFmtId="3" fontId="15" fillId="0" borderId="0" xfId="0" applyNumberFormat="1" applyFont="1" applyAlignment="1">
      <alignment horizontal="right" vertical="center"/>
    </xf>
    <xf numFmtId="0" fontId="14" fillId="30" borderId="0" xfId="0" applyFont="1" applyFill="1" applyAlignment="1">
      <alignment horizontal="right" vertical="center"/>
    </xf>
    <xf numFmtId="0" fontId="18" fillId="30" borderId="0" xfId="0" applyFont="1" applyFill="1" applyAlignment="1">
      <alignment horizontal="right"/>
    </xf>
    <xf numFmtId="0" fontId="18" fillId="30" borderId="0" xfId="0" applyFont="1" applyFill="1"/>
    <xf numFmtId="9" fontId="18" fillId="30" borderId="0" xfId="25" applyFont="1" applyFill="1" applyAlignment="1">
      <alignment horizontal="center"/>
    </xf>
    <xf numFmtId="3" fontId="1" fillId="30" borderId="0" xfId="0" applyNumberFormat="1" applyFont="1" applyFill="1"/>
    <xf numFmtId="3" fontId="1" fillId="30" borderId="47" xfId="0" applyNumberFormat="1" applyFont="1" applyFill="1" applyBorder="1"/>
    <xf numFmtId="3" fontId="1" fillId="30" borderId="52" xfId="0" applyNumberFormat="1" applyFont="1" applyFill="1" applyBorder="1"/>
    <xf numFmtId="3" fontId="1" fillId="30" borderId="48" xfId="0" applyNumberFormat="1" applyFont="1" applyFill="1" applyBorder="1"/>
    <xf numFmtId="3" fontId="1" fillId="30" borderId="53" xfId="0" applyNumberFormat="1" applyFont="1" applyFill="1" applyBorder="1"/>
    <xf numFmtId="3" fontId="39" fillId="30" borderId="0" xfId="0" applyNumberFormat="1" applyFont="1" applyFill="1"/>
    <xf numFmtId="3" fontId="34" fillId="0" borderId="0" xfId="0" applyNumberFormat="1" applyFont="1" applyFill="1" applyAlignment="1">
      <alignment horizontal="left" wrapText="1"/>
    </xf>
    <xf numFmtId="0" fontId="16" fillId="11" borderId="0" xfId="0" applyFont="1" applyFill="1"/>
    <xf numFmtId="0" fontId="7" fillId="15" borderId="0" xfId="0" applyFont="1" applyFill="1" applyBorder="1" applyAlignment="1">
      <alignment horizontal="right"/>
    </xf>
    <xf numFmtId="0" fontId="46" fillId="19" borderId="0" xfId="26" applyFont="1" applyFill="1" applyBorder="1" applyAlignment="1">
      <alignment horizontal="right" vertical="center"/>
    </xf>
    <xf numFmtId="0" fontId="14" fillId="19" borderId="0" xfId="31" applyFont="1" applyFill="1"/>
    <xf numFmtId="0" fontId="9" fillId="19" borderId="0" xfId="31" applyFont="1" applyFill="1"/>
    <xf numFmtId="0" fontId="16" fillId="19" borderId="0" xfId="31" applyFont="1" applyFill="1"/>
    <xf numFmtId="3" fontId="97" fillId="0" borderId="0" xfId="0" applyNumberFormat="1" applyFont="1" applyFill="1" applyBorder="1"/>
    <xf numFmtId="3" fontId="98" fillId="0" borderId="0" xfId="0" applyNumberFormat="1" applyFont="1" applyFill="1" applyBorder="1"/>
    <xf numFmtId="167" fontId="98" fillId="0" borderId="0" xfId="0" applyNumberFormat="1" applyFont="1" applyFill="1" applyBorder="1" applyAlignment="1">
      <alignment horizontal="center"/>
    </xf>
    <xf numFmtId="3" fontId="99" fillId="0" borderId="0" xfId="0" applyNumberFormat="1" applyFont="1" applyAlignment="1">
      <alignment horizontal="right" vertical="center"/>
    </xf>
    <xf numFmtId="3" fontId="100" fillId="0" borderId="0" xfId="0" applyNumberFormat="1" applyFont="1" applyFill="1" applyBorder="1"/>
    <xf numFmtId="3" fontId="100" fillId="0" borderId="0" xfId="0" applyNumberFormat="1" applyFont="1" applyAlignment="1">
      <alignment horizontal="right" vertical="center"/>
    </xf>
    <xf numFmtId="3" fontId="101" fillId="0" borderId="0" xfId="0" applyNumberFormat="1" applyFont="1" applyFill="1" applyAlignment="1">
      <alignment horizontal="right" vertical="center"/>
    </xf>
    <xf numFmtId="3" fontId="97" fillId="0" borderId="0" xfId="0" applyNumberFormat="1" applyFont="1" applyFill="1" applyAlignment="1">
      <alignment horizontal="right" vertical="center"/>
    </xf>
    <xf numFmtId="0" fontId="97" fillId="0" borderId="0" xfId="0" applyFont="1" applyFill="1" applyBorder="1" applyAlignment="1">
      <alignment horizontal="center"/>
    </xf>
    <xf numFmtId="0" fontId="36" fillId="33" borderId="0" xfId="0" applyFont="1" applyFill="1" applyAlignment="1">
      <alignment horizontal="center"/>
    </xf>
    <xf numFmtId="173" fontId="102" fillId="33" borderId="0" xfId="30" applyNumberFormat="1" applyFont="1" applyFill="1" applyBorder="1" applyAlignment="1">
      <alignment horizontal="right" vertical="center"/>
    </xf>
    <xf numFmtId="3" fontId="102" fillId="33" borderId="0" xfId="0" applyNumberFormat="1" applyFont="1" applyFill="1" applyBorder="1"/>
    <xf numFmtId="0" fontId="22" fillId="30" borderId="0" xfId="38" applyFont="1" applyFill="1"/>
    <xf numFmtId="0" fontId="95" fillId="30" borderId="0" xfId="38" applyFont="1" applyFill="1"/>
    <xf numFmtId="9" fontId="22" fillId="30" borderId="0" xfId="38" applyNumberFormat="1" applyFont="1" applyFill="1"/>
    <xf numFmtId="0" fontId="22" fillId="30" borderId="0" xfId="38" applyFont="1" applyFill="1" applyBorder="1"/>
    <xf numFmtId="170" fontId="22" fillId="30" borderId="0" xfId="30" applyNumberFormat="1" applyFont="1" applyFill="1" applyBorder="1"/>
    <xf numFmtId="0" fontId="7" fillId="30" borderId="0" xfId="0" applyFont="1" applyFill="1" applyBorder="1" applyAlignment="1">
      <alignment horizontal="right" vertical="center"/>
    </xf>
    <xf numFmtId="2" fontId="8" fillId="30" borderId="0" xfId="0" applyNumberFormat="1" applyFont="1" applyFill="1" applyBorder="1" applyAlignment="1">
      <alignment horizontal="right" vertical="center"/>
    </xf>
    <xf numFmtId="0" fontId="95" fillId="30" borderId="0" xfId="38" applyFont="1" applyFill="1" applyBorder="1"/>
    <xf numFmtId="17" fontId="1" fillId="30" borderId="0" xfId="0" applyNumberFormat="1" applyFont="1" applyFill="1" applyBorder="1" applyAlignment="1">
      <alignment vertical="center"/>
    </xf>
    <xf numFmtId="0" fontId="7" fillId="30" borderId="0" xfId="0" applyFont="1" applyFill="1" applyBorder="1" applyAlignment="1">
      <alignment horizontal="right"/>
    </xf>
    <xf numFmtId="0" fontId="1" fillId="30" borderId="0" xfId="0" applyFont="1" applyFill="1" applyBorder="1"/>
    <xf numFmtId="170" fontId="69" fillId="30" borderId="0" xfId="30" applyNumberFormat="1" applyFont="1" applyFill="1" applyBorder="1"/>
    <xf numFmtId="0" fontId="95" fillId="30" borderId="0" xfId="38" applyFont="1" applyFill="1" applyBorder="1" applyAlignment="1">
      <alignment horizontal="right"/>
    </xf>
    <xf numFmtId="174" fontId="22" fillId="30" borderId="0" xfId="38" applyNumberFormat="1" applyFont="1" applyFill="1" applyBorder="1"/>
    <xf numFmtId="0" fontId="60" fillId="34" borderId="0" xfId="0" applyFont="1" applyFill="1"/>
    <xf numFmtId="0" fontId="12" fillId="34" borderId="0" xfId="0" applyFont="1" applyFill="1" applyAlignment="1">
      <alignment horizontal="right"/>
    </xf>
    <xf numFmtId="0" fontId="80" fillId="34" borderId="0" xfId="0" applyFont="1" applyFill="1" applyAlignment="1">
      <alignment horizontal="right"/>
    </xf>
    <xf numFmtId="3" fontId="72" fillId="34" borderId="0" xfId="0" applyNumberFormat="1" applyFont="1" applyFill="1"/>
    <xf numFmtId="0" fontId="8" fillId="34" borderId="0" xfId="0" applyFont="1" applyFill="1" applyAlignment="1">
      <alignment vertical="top"/>
    </xf>
    <xf numFmtId="0" fontId="60" fillId="34" borderId="0" xfId="0" applyFont="1" applyFill="1" applyAlignment="1">
      <alignment horizontal="right"/>
    </xf>
    <xf numFmtId="3" fontId="60" fillId="30" borderId="0" xfId="0" applyNumberFormat="1" applyFont="1" applyFill="1"/>
    <xf numFmtId="0" fontId="51" fillId="30" borderId="0" xfId="0" applyFont="1" applyFill="1" applyProtection="1"/>
    <xf numFmtId="0" fontId="11" fillId="3" borderId="0" xfId="38" applyFont="1" applyFill="1"/>
    <xf numFmtId="0" fontId="94" fillId="21" borderId="0" xfId="38" applyFont="1" applyFill="1"/>
    <xf numFmtId="0" fontId="22" fillId="21" borderId="0" xfId="38" applyFont="1" applyFill="1"/>
    <xf numFmtId="170" fontId="22" fillId="0" borderId="0" xfId="30" applyNumberFormat="1" applyFont="1" applyFill="1" applyBorder="1"/>
    <xf numFmtId="170" fontId="22" fillId="0" borderId="0" xfId="38" applyNumberFormat="1" applyFont="1" applyFill="1" applyBorder="1"/>
    <xf numFmtId="0" fontId="22" fillId="0" borderId="0" xfId="38" applyFont="1" applyFill="1" applyBorder="1"/>
    <xf numFmtId="0" fontId="95" fillId="19" borderId="0" xfId="38" applyFont="1" applyFill="1" applyBorder="1"/>
    <xf numFmtId="0" fontId="22" fillId="19" borderId="0" xfId="38" applyFont="1" applyFill="1" applyBorder="1"/>
    <xf numFmtId="170" fontId="103" fillId="0" borderId="0" xfId="30" applyNumberFormat="1" applyFont="1" applyFill="1" applyBorder="1"/>
    <xf numFmtId="0" fontId="22" fillId="19" borderId="0" xfId="38" applyFont="1" applyFill="1"/>
    <xf numFmtId="170" fontId="22" fillId="19" borderId="0" xfId="38" applyNumberFormat="1" applyFont="1" applyFill="1"/>
    <xf numFmtId="3" fontId="22" fillId="19" borderId="0" xfId="38" applyNumberFormat="1" applyFont="1" applyFill="1"/>
    <xf numFmtId="3" fontId="22" fillId="19" borderId="0" xfId="38" applyNumberFormat="1" applyFont="1" applyFill="1" applyBorder="1"/>
    <xf numFmtId="10" fontId="22" fillId="19" borderId="0" xfId="25" applyNumberFormat="1" applyFont="1" applyFill="1" applyBorder="1"/>
    <xf numFmtId="0" fontId="96" fillId="19" borderId="0" xfId="38" applyFont="1" applyFill="1" applyBorder="1"/>
    <xf numFmtId="0" fontId="94" fillId="21" borderId="0" xfId="38" applyFont="1" applyFill="1" applyBorder="1"/>
    <xf numFmtId="0" fontId="22" fillId="21" borderId="0" xfId="38" applyFont="1" applyFill="1" applyBorder="1"/>
    <xf numFmtId="0" fontId="103" fillId="0" borderId="0" xfId="38" applyFont="1" applyFill="1" applyBorder="1"/>
    <xf numFmtId="170" fontId="103" fillId="0" borderId="0" xfId="38" applyNumberFormat="1" applyFont="1" applyFill="1" applyBorder="1"/>
    <xf numFmtId="170" fontId="103" fillId="0" borderId="57" xfId="38" applyNumberFormat="1" applyFont="1" applyFill="1" applyBorder="1"/>
    <xf numFmtId="0" fontId="22" fillId="19" borderId="59" xfId="38" applyFont="1" applyFill="1" applyBorder="1"/>
    <xf numFmtId="0" fontId="103" fillId="19" borderId="0" xfId="38" applyFont="1" applyFill="1"/>
    <xf numFmtId="0" fontId="1" fillId="19" borderId="0" xfId="26" applyFont="1" applyFill="1" applyBorder="1"/>
    <xf numFmtId="0" fontId="1" fillId="19" borderId="58" xfId="26" applyFont="1" applyFill="1" applyBorder="1"/>
    <xf numFmtId="9" fontId="22" fillId="0" borderId="0" xfId="25" applyFont="1" applyFill="1" applyBorder="1"/>
    <xf numFmtId="9" fontId="22" fillId="0" borderId="0" xfId="38" applyNumberFormat="1" applyFont="1" applyFill="1" applyBorder="1"/>
    <xf numFmtId="0" fontId="95" fillId="30" borderId="0" xfId="38" applyFont="1" applyFill="1" applyBorder="1" applyAlignment="1">
      <alignment horizontal="center" vertical="center"/>
    </xf>
    <xf numFmtId="9" fontId="104" fillId="19" borderId="0" xfId="25" applyFont="1" applyFill="1"/>
    <xf numFmtId="0" fontId="105" fillId="21" borderId="0" xfId="38" applyFont="1" applyFill="1" applyBorder="1"/>
    <xf numFmtId="0" fontId="105" fillId="21" borderId="0" xfId="38" applyFont="1" applyFill="1"/>
    <xf numFmtId="170" fontId="103" fillId="0" borderId="0" xfId="30" applyNumberFormat="1" applyFont="1" applyFill="1"/>
    <xf numFmtId="0" fontId="103" fillId="0" borderId="0" xfId="38" applyFont="1" applyFill="1"/>
    <xf numFmtId="9" fontId="22" fillId="30" borderId="0" xfId="38" applyNumberFormat="1" applyFont="1" applyFill="1" applyBorder="1"/>
    <xf numFmtId="170" fontId="103" fillId="0" borderId="57" xfId="30" applyNumberFormat="1" applyFont="1" applyFill="1" applyBorder="1"/>
    <xf numFmtId="170" fontId="103" fillId="0" borderId="58" xfId="30" applyNumberFormat="1" applyFont="1" applyFill="1" applyBorder="1"/>
    <xf numFmtId="0" fontId="103" fillId="0" borderId="57" xfId="38" applyFont="1" applyFill="1" applyBorder="1"/>
    <xf numFmtId="0" fontId="22" fillId="19" borderId="0" xfId="38" applyFont="1" applyFill="1" applyAlignment="1">
      <alignment horizontal="left"/>
    </xf>
    <xf numFmtId="170" fontId="64" fillId="0" borderId="0" xfId="30" applyNumberFormat="1" applyFont="1" applyFill="1"/>
    <xf numFmtId="9" fontId="64" fillId="0" borderId="0" xfId="25" applyFont="1" applyFill="1"/>
    <xf numFmtId="0" fontId="22" fillId="0" borderId="57" xfId="38" applyFont="1" applyFill="1" applyBorder="1"/>
    <xf numFmtId="3" fontId="15" fillId="0" borderId="0" xfId="0" applyNumberFormat="1" applyFont="1" applyFill="1" applyBorder="1" applyAlignment="1">
      <alignment horizontal="right"/>
    </xf>
    <xf numFmtId="0" fontId="16" fillId="30" borderId="0" xfId="0" applyFont="1" applyFill="1" applyBorder="1"/>
    <xf numFmtId="0" fontId="1" fillId="30" borderId="0" xfId="0" applyFont="1" applyFill="1" applyBorder="1" applyAlignment="1">
      <alignment vertical="center"/>
    </xf>
    <xf numFmtId="10" fontId="22" fillId="0" borderId="0" xfId="25" applyNumberFormat="1" applyFont="1" applyFill="1" applyBorder="1"/>
    <xf numFmtId="170" fontId="64" fillId="0" borderId="0" xfId="38" applyNumberFormat="1" applyFont="1" applyFill="1" applyBorder="1"/>
    <xf numFmtId="170" fontId="69" fillId="0" borderId="0" xfId="38" applyNumberFormat="1" applyFont="1" applyFill="1" applyBorder="1"/>
    <xf numFmtId="170" fontId="95" fillId="0" borderId="0" xfId="30" applyNumberFormat="1" applyFont="1" applyFill="1" applyBorder="1"/>
    <xf numFmtId="174" fontId="22" fillId="0" borderId="0" xfId="25" applyNumberFormat="1" applyFont="1" applyFill="1" applyBorder="1"/>
    <xf numFmtId="3" fontId="7" fillId="34" borderId="0" xfId="0" applyNumberFormat="1" applyFont="1" applyFill="1"/>
    <xf numFmtId="3" fontId="15" fillId="19" borderId="57" xfId="0" applyNumberFormat="1" applyFont="1" applyFill="1" applyBorder="1"/>
    <xf numFmtId="0" fontId="7" fillId="30" borderId="0" xfId="0" applyFont="1" applyFill="1" applyProtection="1"/>
    <xf numFmtId="170" fontId="76" fillId="0" borderId="0" xfId="30" applyNumberFormat="1" applyFont="1" applyFill="1"/>
    <xf numFmtId="0" fontId="76" fillId="30" borderId="0" xfId="38" applyFont="1" applyFill="1"/>
    <xf numFmtId="0" fontId="106" fillId="30" borderId="0" xfId="0" applyFont="1" applyFill="1" applyProtection="1"/>
    <xf numFmtId="3" fontId="15" fillId="0" borderId="0" xfId="0" applyNumberFormat="1" applyFont="1" applyFill="1"/>
    <xf numFmtId="3" fontId="15" fillId="0" borderId="57" xfId="0" applyNumberFormat="1" applyFont="1" applyFill="1" applyBorder="1"/>
    <xf numFmtId="0" fontId="14" fillId="19" borderId="0" xfId="0" applyFont="1" applyFill="1" applyAlignment="1">
      <alignment vertical="top"/>
    </xf>
    <xf numFmtId="0" fontId="0" fillId="19" borderId="0" xfId="0" applyFill="1"/>
    <xf numFmtId="0" fontId="16" fillId="30" borderId="0" xfId="0" applyFont="1" applyFill="1" applyAlignment="1">
      <alignment vertical="top"/>
    </xf>
    <xf numFmtId="0" fontId="51" fillId="3" borderId="20" xfId="31" applyFont="1" applyFill="1" applyBorder="1"/>
    <xf numFmtId="0" fontId="51" fillId="5" borderId="20" xfId="31" applyFont="1" applyFill="1" applyBorder="1" applyAlignment="1">
      <alignment horizontal="left" vertical="center" wrapText="1"/>
    </xf>
    <xf numFmtId="0" fontId="7" fillId="19" borderId="0" xfId="0" applyFont="1" applyFill="1" applyAlignment="1">
      <alignment horizontal="left"/>
    </xf>
    <xf numFmtId="0" fontId="17" fillId="6" borderId="0" xfId="31" applyFont="1" applyFill="1"/>
    <xf numFmtId="0" fontId="84" fillId="6" borderId="0" xfId="31" applyFont="1" applyFill="1"/>
    <xf numFmtId="0" fontId="84" fillId="19" borderId="0" xfId="31" applyFont="1" applyFill="1"/>
    <xf numFmtId="0" fontId="84" fillId="6" borderId="0" xfId="31" applyFont="1" applyFill="1" applyAlignment="1">
      <alignment horizontal="right"/>
    </xf>
    <xf numFmtId="0" fontId="17" fillId="6" borderId="0" xfId="31" applyFont="1" applyFill="1" applyAlignment="1">
      <alignment vertical="top"/>
    </xf>
    <xf numFmtId="0" fontId="17" fillId="6" borderId="0" xfId="31" applyFont="1" applyFill="1" applyAlignment="1">
      <alignment horizontal="left" vertical="top"/>
    </xf>
    <xf numFmtId="0" fontId="17" fillId="19" borderId="0" xfId="31" applyFont="1" applyFill="1" applyAlignment="1">
      <alignment vertical="top"/>
    </xf>
    <xf numFmtId="0" fontId="1" fillId="25" borderId="0" xfId="0" applyFont="1" applyFill="1"/>
    <xf numFmtId="3" fontId="1" fillId="25" borderId="0" xfId="0" applyNumberFormat="1" applyFont="1" applyFill="1"/>
    <xf numFmtId="3" fontId="109" fillId="0" borderId="0" xfId="0" applyNumberFormat="1" applyFont="1" applyAlignment="1" applyProtection="1">
      <alignment horizontal="right" vertical="top" wrapText="1"/>
      <protection locked="0"/>
    </xf>
    <xf numFmtId="3" fontId="109" fillId="0" borderId="0" xfId="0" applyNumberFormat="1" applyFont="1"/>
    <xf numFmtId="3" fontId="109" fillId="0" borderId="0" xfId="0" applyNumberFormat="1" applyFont="1" applyAlignment="1">
      <alignment horizontal="center"/>
    </xf>
    <xf numFmtId="3" fontId="109" fillId="0" borderId="0" xfId="0" applyNumberFormat="1" applyFont="1" applyFill="1" applyBorder="1"/>
    <xf numFmtId="173" fontId="110" fillId="0" borderId="0" xfId="30" applyNumberFormat="1" applyFont="1" applyFill="1" applyBorder="1" applyAlignment="1" applyProtection="1">
      <alignment horizontal="right" vertical="center"/>
    </xf>
    <xf numFmtId="173" fontId="36" fillId="33" borderId="0" xfId="30" applyNumberFormat="1" applyFont="1" applyFill="1" applyBorder="1" applyAlignment="1">
      <alignment horizontal="right" vertical="center"/>
    </xf>
    <xf numFmtId="3" fontId="36" fillId="33" borderId="0" xfId="0" applyNumberFormat="1" applyFont="1" applyFill="1" applyBorder="1"/>
    <xf numFmtId="173" fontId="109" fillId="0" borderId="0" xfId="30" applyNumberFormat="1" applyFont="1" applyFill="1" applyBorder="1" applyAlignment="1" applyProtection="1">
      <alignment horizontal="right" vertical="center"/>
    </xf>
    <xf numFmtId="3" fontId="109" fillId="0" borderId="0" xfId="0" applyNumberFormat="1" applyFont="1" applyFill="1" applyBorder="1" applyAlignment="1" applyProtection="1">
      <alignment horizontal="right" vertical="center"/>
    </xf>
    <xf numFmtId="173" fontId="109" fillId="0" borderId="0" xfId="0" applyNumberFormat="1" applyFont="1" applyFill="1" applyBorder="1"/>
    <xf numFmtId="173" fontId="109" fillId="0" borderId="0" xfId="30" applyNumberFormat="1" applyFont="1" applyFill="1" applyAlignment="1">
      <alignment horizontal="right" vertical="center"/>
    </xf>
    <xf numFmtId="0" fontId="42" fillId="3" borderId="0" xfId="26" applyFont="1" applyFill="1" applyBorder="1" applyAlignment="1">
      <alignment vertical="center"/>
    </xf>
    <xf numFmtId="0" fontId="8" fillId="19" borderId="0" xfId="26" applyFont="1" applyFill="1" applyBorder="1" applyAlignment="1">
      <alignment vertical="center"/>
    </xf>
    <xf numFmtId="0" fontId="44" fillId="21" borderId="0" xfId="16" applyFont="1" applyFill="1" applyAlignment="1">
      <alignment vertical="center"/>
    </xf>
    <xf numFmtId="0" fontId="7" fillId="11" borderId="0" xfId="0" applyFont="1" applyFill="1" applyAlignment="1">
      <alignment horizontal="right" vertical="center"/>
    </xf>
    <xf numFmtId="0" fontId="8" fillId="19" borderId="0" xfId="26" applyFont="1" applyFill="1" applyBorder="1" applyAlignment="1">
      <alignment vertical="center" wrapText="1"/>
    </xf>
    <xf numFmtId="0" fontId="7" fillId="11" borderId="0" xfId="0" applyFont="1" applyFill="1" applyAlignment="1">
      <alignment horizontal="left"/>
    </xf>
    <xf numFmtId="0" fontId="24" fillId="12" borderId="0" xfId="0" applyFont="1" applyFill="1" applyAlignment="1">
      <alignment horizontal="left"/>
    </xf>
    <xf numFmtId="0" fontId="8" fillId="19" borderId="0" xfId="26" applyFont="1" applyFill="1" applyBorder="1" applyAlignment="1">
      <alignment horizontal="left"/>
    </xf>
    <xf numFmtId="3" fontId="18" fillId="0" borderId="0" xfId="0" applyNumberFormat="1" applyFont="1" applyAlignment="1">
      <alignment horizontal="right"/>
    </xf>
    <xf numFmtId="0" fontId="7" fillId="19" borderId="0" xfId="32" applyFont="1" applyFill="1"/>
    <xf numFmtId="0" fontId="1" fillId="0" borderId="0" xfId="32" applyFont="1" applyFill="1"/>
    <xf numFmtId="14" fontId="1" fillId="0" borderId="0" xfId="32" applyNumberFormat="1" applyFont="1" applyFill="1"/>
    <xf numFmtId="0" fontId="7" fillId="19" borderId="0" xfId="32" applyFont="1" applyFill="1" applyAlignment="1">
      <alignment horizontal="right"/>
    </xf>
    <xf numFmtId="0" fontId="10" fillId="20" borderId="0" xfId="0" applyFont="1" applyFill="1" applyProtection="1"/>
    <xf numFmtId="0" fontId="98" fillId="0" borderId="0" xfId="0" applyFont="1" applyFill="1" applyBorder="1"/>
    <xf numFmtId="173" fontId="102" fillId="33" borderId="0" xfId="0" applyNumberFormat="1" applyFont="1" applyFill="1" applyBorder="1"/>
    <xf numFmtId="173" fontId="77" fillId="0" borderId="0" xfId="0" applyNumberFormat="1" applyFont="1" applyFill="1" applyAlignment="1">
      <alignment horizontal="right" vertical="center"/>
    </xf>
    <xf numFmtId="173" fontId="36" fillId="33" borderId="0" xfId="0" applyNumberFormat="1" applyFont="1" applyFill="1" applyBorder="1"/>
    <xf numFmtId="173" fontId="98" fillId="0" borderId="0" xfId="0" applyNumberFormat="1" applyFont="1" applyFill="1" applyBorder="1"/>
    <xf numFmtId="173" fontId="33" fillId="0" borderId="0" xfId="0" applyNumberFormat="1" applyFont="1" applyFill="1" applyBorder="1"/>
    <xf numFmtId="173" fontId="36" fillId="23" borderId="0" xfId="0" applyNumberFormat="1" applyFont="1" applyFill="1" applyBorder="1" applyAlignment="1" applyProtection="1">
      <alignment horizontal="right" vertical="center"/>
    </xf>
    <xf numFmtId="173" fontId="97" fillId="0" borderId="0" xfId="0" applyNumberFormat="1" applyFont="1" applyFill="1" applyBorder="1"/>
    <xf numFmtId="173" fontId="18" fillId="0" borderId="0" xfId="0" applyNumberFormat="1" applyFont="1" applyAlignment="1">
      <alignment horizontal="right"/>
    </xf>
    <xf numFmtId="174" fontId="1" fillId="11" borderId="0" xfId="25" applyNumberFormat="1" applyFont="1" applyFill="1"/>
    <xf numFmtId="0" fontId="1" fillId="0" borderId="0" xfId="32" applyFont="1" applyFill="1" applyAlignment="1">
      <alignment horizontal="left"/>
    </xf>
    <xf numFmtId="14" fontId="1" fillId="0" borderId="0" xfId="32" quotePrefix="1" applyNumberFormat="1" applyFont="1" applyFill="1" applyAlignment="1">
      <alignment horizontal="right"/>
    </xf>
    <xf numFmtId="14" fontId="0" fillId="0" borderId="0" xfId="31" applyNumberFormat="1" applyFont="1" applyAlignment="1">
      <alignment horizontal="left" vertical="center"/>
    </xf>
    <xf numFmtId="1" fontId="0" fillId="0" borderId="0" xfId="31" quotePrefix="1" applyNumberFormat="1" applyFont="1" applyAlignment="1">
      <alignment horizontal="left" vertical="center"/>
    </xf>
    <xf numFmtId="1" fontId="0" fillId="0" borderId="0" xfId="31" applyNumberFormat="1" applyFont="1" applyAlignment="1">
      <alignment horizontal="left" vertical="center"/>
    </xf>
    <xf numFmtId="0" fontId="44" fillId="5" borderId="42" xfId="0" applyFont="1" applyFill="1" applyBorder="1"/>
    <xf numFmtId="0" fontId="0" fillId="19" borderId="20" xfId="31" applyFont="1" applyFill="1" applyBorder="1" applyAlignment="1">
      <alignment horizontal="left" vertical="center"/>
    </xf>
    <xf numFmtId="0" fontId="44" fillId="35" borderId="42" xfId="0" applyFont="1" applyFill="1" applyBorder="1"/>
    <xf numFmtId="0" fontId="8" fillId="19" borderId="0" xfId="31" applyFont="1" applyFill="1" applyAlignment="1">
      <alignment horizontal="left" vertical="top" wrapText="1"/>
    </xf>
    <xf numFmtId="0" fontId="7" fillId="2" borderId="20" xfId="31" applyFont="1" applyFill="1" applyBorder="1" applyAlignment="1">
      <alignment horizontal="left" vertical="center"/>
    </xf>
    <xf numFmtId="0" fontId="44" fillId="3" borderId="42" xfId="0" applyFont="1" applyFill="1" applyBorder="1"/>
    <xf numFmtId="0" fontId="51" fillId="26" borderId="20" xfId="31" applyFont="1" applyFill="1" applyBorder="1" applyAlignment="1">
      <alignment horizontal="left" vertical="center" wrapText="1"/>
    </xf>
    <xf numFmtId="0" fontId="1" fillId="19" borderId="0" xfId="31" applyFill="1" applyAlignment="1">
      <alignment horizontal="left" vertical="top" wrapText="1"/>
    </xf>
    <xf numFmtId="0" fontId="1" fillId="27" borderId="20" xfId="31" applyFont="1" applyFill="1" applyBorder="1" applyAlignment="1">
      <alignment horizontal="left" vertical="center"/>
    </xf>
    <xf numFmtId="0" fontId="0" fillId="27" borderId="42" xfId="0" applyFill="1" applyBorder="1"/>
    <xf numFmtId="0" fontId="0" fillId="27" borderId="41" xfId="0" applyFill="1" applyBorder="1"/>
    <xf numFmtId="0" fontId="1" fillId="0" borderId="0" xfId="32" applyFont="1" applyFill="1" applyAlignment="1">
      <alignment horizontal="left"/>
    </xf>
    <xf numFmtId="0" fontId="24" fillId="18" borderId="0" xfId="0" applyFont="1" applyFill="1" applyBorder="1" applyAlignment="1">
      <alignment horizontal="right" vertical="top" wrapText="1"/>
    </xf>
    <xf numFmtId="3" fontId="1" fillId="0" borderId="0" xfId="0" applyNumberFormat="1" applyFont="1" applyFill="1" applyBorder="1" applyAlignment="1">
      <alignment horizontal="center" vertical="center" wrapText="1"/>
    </xf>
    <xf numFmtId="0" fontId="46" fillId="20" borderId="12" xfId="26" applyNumberFormat="1" applyFont="1" applyFill="1" applyBorder="1" applyAlignment="1">
      <alignment horizontal="center" vertical="top" wrapText="1"/>
    </xf>
    <xf numFmtId="0" fontId="46" fillId="20" borderId="0" xfId="26" applyNumberFormat="1" applyFont="1" applyFill="1" applyBorder="1" applyAlignment="1">
      <alignment horizontal="center" vertical="top" wrapText="1"/>
    </xf>
    <xf numFmtId="0" fontId="12" fillId="22" borderId="17" xfId="26" applyFont="1" applyFill="1" applyBorder="1" applyAlignment="1">
      <alignment horizontal="center" wrapText="1"/>
    </xf>
    <xf numFmtId="0" fontId="12" fillId="22" borderId="18" xfId="26" applyFont="1" applyFill="1" applyBorder="1" applyAlignment="1">
      <alignment horizontal="center" wrapText="1"/>
    </xf>
    <xf numFmtId="0" fontId="12" fillId="22" borderId="17" xfId="26" applyFont="1" applyFill="1" applyBorder="1" applyAlignment="1">
      <alignment horizontal="left" vertical="center"/>
    </xf>
    <xf numFmtId="0" fontId="12" fillId="22" borderId="18" xfId="26" applyFont="1" applyFill="1" applyBorder="1" applyAlignment="1">
      <alignment horizontal="left" vertical="center"/>
    </xf>
  </cellXfs>
  <cellStyles count="41">
    <cellStyle name="Calcs" xfId="34" xr:uid="{47C37C13-B214-480C-B17F-0A2D2C29298A}"/>
    <cellStyle name="Checks/refs" xfId="40" xr:uid="{6EFDF1B4-6A7F-674A-A93A-3AA4FE891EAB}"/>
    <cellStyle name="Comma" xfId="30" builtinId="3"/>
    <cellStyle name="Comma [0] 2" xfId="1" xr:uid="{00000000-0005-0000-0000-000001000000}"/>
    <cellStyle name="Comma [0] 2 2" xfId="4" xr:uid="{00000000-0005-0000-0000-000002000000}"/>
    <cellStyle name="Comma 2" xfId="9" xr:uid="{00000000-0005-0000-0000-000003000000}"/>
    <cellStyle name="Comma 3" xfId="29" xr:uid="{91BDAD82-242B-4323-A71C-0406CBB6AD39}"/>
    <cellStyle name="Comma 4" xfId="39" xr:uid="{CFD095BC-96CB-AE46-9E7D-C0EC29C2B823}"/>
    <cellStyle name="Cost" xfId="35" xr:uid="{0F4D9623-47CF-4EB7-9F62-744696BB448C}"/>
    <cellStyle name="Cost (external)" xfId="36" xr:uid="{03F03635-3FBE-4DC1-B44D-78DD6E1CE26A}"/>
    <cellStyle name="Data (external)" xfId="37" xr:uid="{CBC19B3E-8D19-4740-AA93-A9EBEA30D1A0}"/>
    <cellStyle name="Followed Hyperlink" xfId="2" builtinId="9" customBuiltin="1"/>
    <cellStyle name="Followed Hyperlink 2" xfId="8" xr:uid="{00000000-0005-0000-0000-000005000000}"/>
    <cellStyle name="Hyperlink 2" xfId="10" xr:uid="{00000000-0005-0000-0000-000007000000}"/>
    <cellStyle name="Hyperlink 3" xfId="14" xr:uid="{00000000-0005-0000-0000-000008000000}"/>
    <cellStyle name="Hyperlink 4" xfId="33" xr:uid="{0C45DEAB-4865-4D78-A399-367B5CF43F30}"/>
    <cellStyle name="Normal" xfId="0" builtinId="0"/>
    <cellStyle name="Normal 10" xfId="24" xr:uid="{3FE11DC3-3BF9-4463-809B-04D92F09A0F2}"/>
    <cellStyle name="Normal 11" xfId="27" xr:uid="{0F37B25A-FAA2-458D-88B2-85C48DFD7CB2}"/>
    <cellStyle name="Normal 12" xfId="38" xr:uid="{24D935B8-4D15-CA45-A7A4-17E78D3CFB88}"/>
    <cellStyle name="Normal 2" xfId="3" xr:uid="{00000000-0005-0000-0000-00000B000000}"/>
    <cellStyle name="Normal 2 2" xfId="18" xr:uid="{00000000-0005-0000-0000-00000C000000}"/>
    <cellStyle name="Normal 2 2 2" xfId="26" xr:uid="{E4848821-58B2-3F46-9BCA-F7A4BE894759}"/>
    <cellStyle name="Normal 2 2 2 2" xfId="31" xr:uid="{D43692CC-6FD3-413F-8796-EB7D4BF112DC}"/>
    <cellStyle name="Normal 3" xfId="5" xr:uid="{00000000-0005-0000-0000-00000D000000}"/>
    <cellStyle name="Normal 3 19" xfId="11" xr:uid="{00000000-0005-0000-0000-00000E000000}"/>
    <cellStyle name="Normal 3 2" xfId="12" xr:uid="{00000000-0005-0000-0000-00000F000000}"/>
    <cellStyle name="Normal 3 2 2" xfId="17" xr:uid="{00000000-0005-0000-0000-000010000000}"/>
    <cellStyle name="Normal 3 3" xfId="16" xr:uid="{00000000-0005-0000-0000-000011000000}"/>
    <cellStyle name="Normal 4" xfId="7" xr:uid="{00000000-0005-0000-0000-000012000000}"/>
    <cellStyle name="Normal 4 2" xfId="15" xr:uid="{00000000-0005-0000-0000-000013000000}"/>
    <cellStyle name="Normal 4 2 2" xfId="32" xr:uid="{22EB25AC-F6A8-47A4-92B6-FBC5C878D5E0}"/>
    <cellStyle name="Normal 5" xfId="13" xr:uid="{00000000-0005-0000-0000-000014000000}"/>
    <cellStyle name="Normal 6" xfId="6" xr:uid="{00000000-0005-0000-0000-000015000000}"/>
    <cellStyle name="Normal 7" xfId="19" xr:uid="{00000000-0005-0000-0000-000016000000}"/>
    <cellStyle name="Normal 8" xfId="21" xr:uid="{00000000-0005-0000-0000-000017000000}"/>
    <cellStyle name="Normal 9" xfId="22" xr:uid="{00000000-0005-0000-0000-000018000000}"/>
    <cellStyle name="Normal 9 2" xfId="23" xr:uid="{00000000-0005-0000-0000-000019000000}"/>
    <cellStyle name="Percent" xfId="25" builtinId="5"/>
    <cellStyle name="Percent 2" xfId="20" xr:uid="{00000000-0005-0000-0000-00001B000000}"/>
    <cellStyle name="Percent 3" xfId="28" xr:uid="{D2A7B9FA-6E5C-407D-9439-F59755997793}"/>
  </cellStyles>
  <dxfs count="1">
    <dxf>
      <font>
        <color theme="0" tint="-0.499984740745262"/>
      </font>
      <fill>
        <patternFill>
          <bgColor theme="4" tint="0.59996337778862885"/>
        </patternFill>
      </fill>
    </dxf>
  </dxfs>
  <tableStyles count="0" defaultTableStyle="TableStyleMedium2" defaultPivotStyle="PivotStyleLight16"/>
  <colors>
    <mruColors>
      <color rgb="FFFFCC99"/>
      <color rgb="FF963634"/>
      <color rgb="FFFF5050"/>
      <color rgb="FFF4B084"/>
      <color rgb="FF63BE7B"/>
      <color rgb="FF0000FF"/>
      <color rgb="FFB4C6E7"/>
      <color rgb="FFFFFF99"/>
      <color rgb="FF336600"/>
      <color rgb="FFFFD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areaChart>
        <c:grouping val="stacked"/>
        <c:varyColors val="0"/>
        <c:ser>
          <c:idx val="2"/>
          <c:order val="0"/>
          <c:tx>
            <c:strRef>
              <c:f>'Generation by financial year'!$A$175</c:f>
              <c:strCache>
                <c:ptCount val="1"/>
                <c:pt idx="0">
                  <c:v>Other</c:v>
                </c:pt>
              </c:strCache>
            </c:strRef>
          </c:tx>
          <c:spPr>
            <a:solidFill>
              <a:srgbClr val="FF5050"/>
            </a:solidFill>
            <a:ln>
              <a:noFill/>
            </a:ln>
            <a:effectLst/>
          </c:spPr>
          <c:cat>
            <c:strRef>
              <c:f>'Generation by financial year'!$C$7:$P$7</c:f>
              <c:strCache>
                <c:ptCount val="14"/>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strCache>
            </c:strRef>
          </c:cat>
          <c:val>
            <c:numRef>
              <c:f>'Generation by financial year'!$C$175:$P$175</c:f>
              <c:numCache>
                <c:formatCode>#,##0</c:formatCode>
                <c:ptCount val="14"/>
                <c:pt idx="0">
                  <c:v>2700488.7073514191</c:v>
                </c:pt>
                <c:pt idx="1">
                  <c:v>2714870.2410083842</c:v>
                </c:pt>
                <c:pt idx="2">
                  <c:v>2613066.9072685419</c:v>
                </c:pt>
                <c:pt idx="3">
                  <c:v>2851557.8490547403</c:v>
                </c:pt>
                <c:pt idx="4">
                  <c:v>3070785.3906584466</c:v>
                </c:pt>
                <c:pt idx="5">
                  <c:v>3305290.010903731</c:v>
                </c:pt>
                <c:pt idx="6">
                  <c:v>3689509.0307831941</c:v>
                </c:pt>
                <c:pt idx="7">
                  <c:v>3562174.1826878721</c:v>
                </c:pt>
                <c:pt idx="8">
                  <c:v>3349558.5271597998</c:v>
                </c:pt>
                <c:pt idx="9">
                  <c:v>3185230.2139625871</c:v>
                </c:pt>
                <c:pt idx="10">
                  <c:v>3153328.8563830853</c:v>
                </c:pt>
                <c:pt idx="11">
                  <c:v>3450971.5801714612</c:v>
                </c:pt>
                <c:pt idx="12">
                  <c:v>3656321.2489825077</c:v>
                </c:pt>
                <c:pt idx="13">
                  <c:v>3467232.3389188452</c:v>
                </c:pt>
              </c:numCache>
            </c:numRef>
          </c:val>
          <c:extLst>
            <c:ext xmlns:c16="http://schemas.microsoft.com/office/drawing/2014/chart" uri="{C3380CC4-5D6E-409C-BE32-E72D297353CC}">
              <c16:uniqueId val="{00000002-7D33-4E52-8CC4-BFAA0E85C844}"/>
            </c:ext>
          </c:extLst>
        </c:ser>
        <c:ser>
          <c:idx val="1"/>
          <c:order val="1"/>
          <c:tx>
            <c:strRef>
              <c:f>'Generation by financial year'!$A$174</c:f>
              <c:strCache>
                <c:ptCount val="1"/>
                <c:pt idx="0">
                  <c:v>Asbestos</c:v>
                </c:pt>
              </c:strCache>
            </c:strRef>
          </c:tx>
          <c:spPr>
            <a:solidFill>
              <a:schemeClr val="bg1">
                <a:lumMod val="65000"/>
              </a:schemeClr>
            </a:solidFill>
            <a:ln>
              <a:noFill/>
            </a:ln>
            <a:effectLst/>
          </c:spPr>
          <c:cat>
            <c:strRef>
              <c:f>'Generation by financial year'!$C$7:$P$7</c:f>
              <c:strCache>
                <c:ptCount val="14"/>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strCache>
            </c:strRef>
          </c:cat>
          <c:val>
            <c:numRef>
              <c:f>'Generation by financial year'!$C$174:$P$174</c:f>
              <c:numCache>
                <c:formatCode>#,##0</c:formatCode>
                <c:ptCount val="14"/>
                <c:pt idx="0">
                  <c:v>315654.21649788524</c:v>
                </c:pt>
                <c:pt idx="1">
                  <c:v>317926.35282575304</c:v>
                </c:pt>
                <c:pt idx="2">
                  <c:v>344741.07563549437</c:v>
                </c:pt>
                <c:pt idx="3">
                  <c:v>366484.84410364099</c:v>
                </c:pt>
                <c:pt idx="4">
                  <c:v>368544.45284319913</c:v>
                </c:pt>
                <c:pt idx="5">
                  <c:v>425756.81890011806</c:v>
                </c:pt>
                <c:pt idx="6">
                  <c:v>778861.30999801587</c:v>
                </c:pt>
                <c:pt idx="7">
                  <c:v>683463.75260122283</c:v>
                </c:pt>
                <c:pt idx="8">
                  <c:v>612725.47315094562</c:v>
                </c:pt>
                <c:pt idx="9">
                  <c:v>892313.92537051125</c:v>
                </c:pt>
                <c:pt idx="10">
                  <c:v>1234423.5716863368</c:v>
                </c:pt>
                <c:pt idx="11">
                  <c:v>1623813.7393088939</c:v>
                </c:pt>
                <c:pt idx="12">
                  <c:v>1699105.3064821295</c:v>
                </c:pt>
                <c:pt idx="13">
                  <c:v>1326502.577476759</c:v>
                </c:pt>
              </c:numCache>
            </c:numRef>
          </c:val>
          <c:extLst>
            <c:ext xmlns:c16="http://schemas.microsoft.com/office/drawing/2014/chart" uri="{C3380CC4-5D6E-409C-BE32-E72D297353CC}">
              <c16:uniqueId val="{00000001-7D33-4E52-8CC4-BFAA0E85C844}"/>
            </c:ext>
          </c:extLst>
        </c:ser>
        <c:ser>
          <c:idx val="0"/>
          <c:order val="2"/>
          <c:tx>
            <c:strRef>
              <c:f>'Generation by financial year'!$A$173</c:f>
              <c:strCache>
                <c:ptCount val="1"/>
                <c:pt idx="0">
                  <c:v>Contaminated soil</c:v>
                </c:pt>
              </c:strCache>
            </c:strRef>
          </c:tx>
          <c:spPr>
            <a:solidFill>
              <a:schemeClr val="bg2">
                <a:lumMod val="25000"/>
              </a:schemeClr>
            </a:solidFill>
            <a:ln>
              <a:noFill/>
            </a:ln>
            <a:effectLst/>
          </c:spPr>
          <c:cat>
            <c:strRef>
              <c:f>'Generation by financial year'!$C$7:$P$7</c:f>
              <c:strCache>
                <c:ptCount val="14"/>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strCache>
            </c:strRef>
          </c:cat>
          <c:val>
            <c:numRef>
              <c:f>'Generation by financial year'!$C$173:$P$173</c:f>
              <c:numCache>
                <c:formatCode>#,##0</c:formatCode>
                <c:ptCount val="14"/>
                <c:pt idx="0">
                  <c:v>1787365.5977730257</c:v>
                </c:pt>
                <c:pt idx="1">
                  <c:v>2672023.3237425997</c:v>
                </c:pt>
                <c:pt idx="2">
                  <c:v>1543707.1933789905</c:v>
                </c:pt>
                <c:pt idx="3">
                  <c:v>1381258.4998796931</c:v>
                </c:pt>
                <c:pt idx="4">
                  <c:v>1533287.6418324434</c:v>
                </c:pt>
                <c:pt idx="5">
                  <c:v>1540951.0364555854</c:v>
                </c:pt>
                <c:pt idx="6">
                  <c:v>1448787.846063613</c:v>
                </c:pt>
                <c:pt idx="7">
                  <c:v>1738921.5461586704</c:v>
                </c:pt>
                <c:pt idx="8">
                  <c:v>1469235.7992916661</c:v>
                </c:pt>
                <c:pt idx="9">
                  <c:v>1723790.3265761631</c:v>
                </c:pt>
                <c:pt idx="10">
                  <c:v>2101916.3680097284</c:v>
                </c:pt>
                <c:pt idx="11">
                  <c:v>2842215.3428155584</c:v>
                </c:pt>
                <c:pt idx="12">
                  <c:v>2649760.1102890032</c:v>
                </c:pt>
                <c:pt idx="13">
                  <c:v>2582442.450818378</c:v>
                </c:pt>
              </c:numCache>
            </c:numRef>
          </c:val>
          <c:extLst>
            <c:ext xmlns:c16="http://schemas.microsoft.com/office/drawing/2014/chart" uri="{C3380CC4-5D6E-409C-BE32-E72D297353CC}">
              <c16:uniqueId val="{00000000-7D33-4E52-8CC4-BFAA0E85C844}"/>
            </c:ext>
          </c:extLst>
        </c:ser>
        <c:dLbls>
          <c:showLegendKey val="0"/>
          <c:showVal val="0"/>
          <c:showCatName val="0"/>
          <c:showSerName val="0"/>
          <c:showPercent val="0"/>
          <c:showBubbleSize val="0"/>
        </c:dLbls>
        <c:axId val="1116250744"/>
        <c:axId val="1116248120"/>
      </c:areaChart>
      <c:catAx>
        <c:axId val="11162507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1116248120"/>
        <c:crosses val="autoZero"/>
        <c:auto val="1"/>
        <c:lblAlgn val="ctr"/>
        <c:lblOffset val="100"/>
        <c:noMultiLvlLbl val="0"/>
      </c:catAx>
      <c:valAx>
        <c:axId val="1116248120"/>
        <c:scaling>
          <c:orientation val="minMax"/>
          <c:max val="800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en-US"/>
                  <a:t>Thousands of tonnes of waste generated</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1116250744"/>
        <c:crosses val="autoZero"/>
        <c:crossBetween val="midCat"/>
        <c:dispUnits>
          <c:builtInUnit val="thousands"/>
        </c:dispUnits>
      </c:valAx>
      <c:spPr>
        <a:noFill/>
        <a:ln>
          <a:noFill/>
        </a:ln>
        <a:effectLst/>
      </c:spPr>
    </c:plotArea>
    <c:legend>
      <c:legendPos val="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00">
          <a:solidFill>
            <a:schemeClr val="tx1"/>
          </a:solidFill>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areaChart>
        <c:grouping val="stacked"/>
        <c:varyColors val="0"/>
        <c:ser>
          <c:idx val="3"/>
          <c:order val="0"/>
          <c:tx>
            <c:v>ACT</c:v>
          </c:tx>
          <c:spPr>
            <a:solidFill>
              <a:schemeClr val="accent4"/>
            </a:solidFill>
            <a:ln w="25400">
              <a:noFill/>
            </a:ln>
            <a:effectLst/>
          </c:spPr>
          <c:cat>
            <c:strRef>
              <c:f>'Generation by financial year'!$C$7:$P$7</c:f>
              <c:strCache>
                <c:ptCount val="14"/>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strCache>
            </c:strRef>
          </c:cat>
          <c:val>
            <c:numRef>
              <c:f>'Generation by financial year'!$R$9:$AE$9</c:f>
              <c:numCache>
                <c:formatCode>#,##0</c:formatCode>
                <c:ptCount val="14"/>
                <c:pt idx="0">
                  <c:v>10430.433449672488</c:v>
                </c:pt>
                <c:pt idx="1">
                  <c:v>10254.250821808784</c:v>
                </c:pt>
                <c:pt idx="2">
                  <c:v>29097.567638382356</c:v>
                </c:pt>
                <c:pt idx="3">
                  <c:v>10807.420351220509</c:v>
                </c:pt>
                <c:pt idx="4">
                  <c:v>11970.263701225431</c:v>
                </c:pt>
                <c:pt idx="5">
                  <c:v>15808.469249853812</c:v>
                </c:pt>
                <c:pt idx="6">
                  <c:v>17249.288683921819</c:v>
                </c:pt>
                <c:pt idx="7">
                  <c:v>18174.650191253782</c:v>
                </c:pt>
                <c:pt idx="8">
                  <c:v>19416.205351908644</c:v>
                </c:pt>
                <c:pt idx="9">
                  <c:v>79745.408694506332</c:v>
                </c:pt>
                <c:pt idx="10">
                  <c:v>220661.04389542923</c:v>
                </c:pt>
                <c:pt idx="11">
                  <c:v>109005.06121195457</c:v>
                </c:pt>
                <c:pt idx="12">
                  <c:v>60437.808000000005</c:v>
                </c:pt>
                <c:pt idx="13">
                  <c:v>48013.437299999998</c:v>
                </c:pt>
              </c:numCache>
            </c:numRef>
          </c:val>
          <c:extLst>
            <c:ext xmlns:c16="http://schemas.microsoft.com/office/drawing/2014/chart" uri="{C3380CC4-5D6E-409C-BE32-E72D297353CC}">
              <c16:uniqueId val="{0000000B-50BE-4DE9-B6EB-3A340BE20FBB}"/>
            </c:ext>
          </c:extLst>
        </c:ser>
        <c:ser>
          <c:idx val="4"/>
          <c:order val="1"/>
          <c:tx>
            <c:v>NSW</c:v>
          </c:tx>
          <c:spPr>
            <a:solidFill>
              <a:schemeClr val="accent5"/>
            </a:solidFill>
            <a:ln w="25400">
              <a:noFill/>
            </a:ln>
            <a:effectLst/>
          </c:spPr>
          <c:cat>
            <c:strRef>
              <c:f>'Generation by financial year'!$C$7:$P$7</c:f>
              <c:strCache>
                <c:ptCount val="14"/>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strCache>
            </c:strRef>
          </c:cat>
          <c:val>
            <c:numRef>
              <c:f>'Generation by financial year'!$AG$9:$AT$9</c:f>
              <c:numCache>
                <c:formatCode>#,##0</c:formatCode>
                <c:ptCount val="14"/>
                <c:pt idx="0">
                  <c:v>1122246.4741144949</c:v>
                </c:pt>
                <c:pt idx="1">
                  <c:v>1117130.5987027949</c:v>
                </c:pt>
                <c:pt idx="2">
                  <c:v>1181880.1693614197</c:v>
                </c:pt>
                <c:pt idx="3">
                  <c:v>1285534.0028234494</c:v>
                </c:pt>
                <c:pt idx="4">
                  <c:v>1126377.5240072478</c:v>
                </c:pt>
                <c:pt idx="5">
                  <c:v>1279097.2985250519</c:v>
                </c:pt>
                <c:pt idx="6">
                  <c:v>1695348.2825311292</c:v>
                </c:pt>
                <c:pt idx="7">
                  <c:v>1686808.0597803395</c:v>
                </c:pt>
                <c:pt idx="8">
                  <c:v>1330016.5044165843</c:v>
                </c:pt>
                <c:pt idx="9">
                  <c:v>1789623.0210889908</c:v>
                </c:pt>
                <c:pt idx="10">
                  <c:v>1712896.4888256865</c:v>
                </c:pt>
                <c:pt idx="11">
                  <c:v>2596781.3950194679</c:v>
                </c:pt>
                <c:pt idx="12">
                  <c:v>2847804.3540747575</c:v>
                </c:pt>
                <c:pt idx="13">
                  <c:v>2349288.7721282328</c:v>
                </c:pt>
              </c:numCache>
            </c:numRef>
          </c:val>
          <c:extLst>
            <c:ext xmlns:c16="http://schemas.microsoft.com/office/drawing/2014/chart" uri="{C3380CC4-5D6E-409C-BE32-E72D297353CC}">
              <c16:uniqueId val="{0000000C-50BE-4DE9-B6EB-3A340BE20FBB}"/>
            </c:ext>
          </c:extLst>
        </c:ser>
        <c:ser>
          <c:idx val="5"/>
          <c:order val="2"/>
          <c:tx>
            <c:strRef>
              <c:f>'Generation by financial year'!$AV$6</c:f>
              <c:strCache>
                <c:ptCount val="1"/>
                <c:pt idx="0">
                  <c:v>NT</c:v>
                </c:pt>
              </c:strCache>
            </c:strRef>
          </c:tx>
          <c:spPr>
            <a:solidFill>
              <a:schemeClr val="accent6"/>
            </a:solidFill>
            <a:ln w="25400">
              <a:noFill/>
            </a:ln>
            <a:effectLst/>
          </c:spPr>
          <c:cat>
            <c:strRef>
              <c:f>'Generation by financial year'!$C$7:$P$7</c:f>
              <c:strCache>
                <c:ptCount val="14"/>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strCache>
            </c:strRef>
          </c:cat>
          <c:val>
            <c:numRef>
              <c:f>'Generation by financial year'!$AV$9:$BI$9</c:f>
              <c:numCache>
                <c:formatCode>#,##0</c:formatCode>
                <c:ptCount val="14"/>
                <c:pt idx="0">
                  <c:v>30563.003293033427</c:v>
                </c:pt>
                <c:pt idx="1">
                  <c:v>31372.449508505055</c:v>
                </c:pt>
                <c:pt idx="2">
                  <c:v>32228.096000007383</c:v>
                </c:pt>
                <c:pt idx="3">
                  <c:v>32989.459169578753</c:v>
                </c:pt>
                <c:pt idx="4">
                  <c:v>33353.847553569911</c:v>
                </c:pt>
                <c:pt idx="5">
                  <c:v>33725.891055202359</c:v>
                </c:pt>
                <c:pt idx="6">
                  <c:v>34686.349951920885</c:v>
                </c:pt>
                <c:pt idx="7">
                  <c:v>35194.054959085421</c:v>
                </c:pt>
                <c:pt idx="8">
                  <c:v>32621.8182222092</c:v>
                </c:pt>
                <c:pt idx="9">
                  <c:v>24004.615151421982</c:v>
                </c:pt>
                <c:pt idx="10">
                  <c:v>30131.101500845951</c:v>
                </c:pt>
                <c:pt idx="11">
                  <c:v>28235.377716719133</c:v>
                </c:pt>
                <c:pt idx="12">
                  <c:v>78277.144330000025</c:v>
                </c:pt>
                <c:pt idx="13">
                  <c:v>54660.278717512396</c:v>
                </c:pt>
              </c:numCache>
            </c:numRef>
          </c:val>
          <c:extLst>
            <c:ext xmlns:c16="http://schemas.microsoft.com/office/drawing/2014/chart" uri="{C3380CC4-5D6E-409C-BE32-E72D297353CC}">
              <c16:uniqueId val="{0000000D-50BE-4DE9-B6EB-3A340BE20FBB}"/>
            </c:ext>
          </c:extLst>
        </c:ser>
        <c:ser>
          <c:idx val="6"/>
          <c:order val="3"/>
          <c:tx>
            <c:v>Qld</c:v>
          </c:tx>
          <c:spPr>
            <a:solidFill>
              <a:schemeClr val="accent1">
                <a:lumMod val="60000"/>
              </a:schemeClr>
            </a:solidFill>
            <a:ln w="25400">
              <a:noFill/>
            </a:ln>
            <a:effectLst/>
          </c:spPr>
          <c:cat>
            <c:strRef>
              <c:f>'Generation by financial year'!$C$7:$P$7</c:f>
              <c:strCache>
                <c:ptCount val="14"/>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strCache>
            </c:strRef>
          </c:cat>
          <c:val>
            <c:numRef>
              <c:f>'Generation by financial year'!$BK$9:$BX$9</c:f>
              <c:numCache>
                <c:formatCode>#,##0</c:formatCode>
                <c:ptCount val="14"/>
                <c:pt idx="0">
                  <c:v>1480955.5547729353</c:v>
                </c:pt>
                <c:pt idx="1">
                  <c:v>2319275.9109006538</c:v>
                </c:pt>
                <c:pt idx="2">
                  <c:v>1386208.7522120397</c:v>
                </c:pt>
                <c:pt idx="3">
                  <c:v>1340053.261536733</c:v>
                </c:pt>
                <c:pt idx="4">
                  <c:v>1390525.8111028052</c:v>
                </c:pt>
                <c:pt idx="5">
                  <c:v>1182725.7600447494</c:v>
                </c:pt>
                <c:pt idx="6">
                  <c:v>1592959.7383428738</c:v>
                </c:pt>
                <c:pt idx="7">
                  <c:v>2051769.2201394304</c:v>
                </c:pt>
                <c:pt idx="8">
                  <c:v>1727225.2252268726</c:v>
                </c:pt>
                <c:pt idx="9">
                  <c:v>1486922.5973219534</c:v>
                </c:pt>
                <c:pt idx="10">
                  <c:v>2040034.2868940854</c:v>
                </c:pt>
                <c:pt idx="11">
                  <c:v>2058448.4176603535</c:v>
                </c:pt>
                <c:pt idx="12">
                  <c:v>1936207.2770448762</c:v>
                </c:pt>
                <c:pt idx="13">
                  <c:v>1461416.1585319443</c:v>
                </c:pt>
              </c:numCache>
            </c:numRef>
          </c:val>
          <c:extLst>
            <c:ext xmlns:c16="http://schemas.microsoft.com/office/drawing/2014/chart" uri="{C3380CC4-5D6E-409C-BE32-E72D297353CC}">
              <c16:uniqueId val="{0000000E-50BE-4DE9-B6EB-3A340BE20FBB}"/>
            </c:ext>
          </c:extLst>
        </c:ser>
        <c:ser>
          <c:idx val="7"/>
          <c:order val="4"/>
          <c:tx>
            <c:v>SA</c:v>
          </c:tx>
          <c:spPr>
            <a:solidFill>
              <a:schemeClr val="accent2">
                <a:lumMod val="60000"/>
              </a:schemeClr>
            </a:solidFill>
            <a:ln w="25400">
              <a:noFill/>
            </a:ln>
            <a:effectLst/>
          </c:spPr>
          <c:cat>
            <c:strRef>
              <c:f>'Generation by financial year'!$C$7:$P$7</c:f>
              <c:strCache>
                <c:ptCount val="14"/>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strCache>
            </c:strRef>
          </c:cat>
          <c:val>
            <c:numRef>
              <c:f>'Generation by financial year'!$BZ$9:$CM$9</c:f>
              <c:numCache>
                <c:formatCode>#,##0</c:formatCode>
                <c:ptCount val="14"/>
                <c:pt idx="0">
                  <c:v>185726.84325831564</c:v>
                </c:pt>
                <c:pt idx="1">
                  <c:v>350233.78295965912</c:v>
                </c:pt>
                <c:pt idx="2">
                  <c:v>190483.76450899092</c:v>
                </c:pt>
                <c:pt idx="3">
                  <c:v>232375.94649283995</c:v>
                </c:pt>
                <c:pt idx="4">
                  <c:v>471719.66263389686</c:v>
                </c:pt>
                <c:pt idx="5">
                  <c:v>866612.206531459</c:v>
                </c:pt>
                <c:pt idx="6">
                  <c:v>546370.89328476659</c:v>
                </c:pt>
                <c:pt idx="7">
                  <c:v>314051.83999902988</c:v>
                </c:pt>
                <c:pt idx="8">
                  <c:v>474995.5626063323</c:v>
                </c:pt>
                <c:pt idx="9">
                  <c:v>358274.77203694347</c:v>
                </c:pt>
                <c:pt idx="10">
                  <c:v>460603.10370726732</c:v>
                </c:pt>
                <c:pt idx="11">
                  <c:v>582532.12593304436</c:v>
                </c:pt>
                <c:pt idx="12">
                  <c:v>449400.56644431321</c:v>
                </c:pt>
                <c:pt idx="13">
                  <c:v>410115.99423888052</c:v>
                </c:pt>
              </c:numCache>
            </c:numRef>
          </c:val>
          <c:extLst>
            <c:ext xmlns:c16="http://schemas.microsoft.com/office/drawing/2014/chart" uri="{C3380CC4-5D6E-409C-BE32-E72D297353CC}">
              <c16:uniqueId val="{0000000F-50BE-4DE9-B6EB-3A340BE20FBB}"/>
            </c:ext>
          </c:extLst>
        </c:ser>
        <c:ser>
          <c:idx val="8"/>
          <c:order val="5"/>
          <c:tx>
            <c:v>Tas</c:v>
          </c:tx>
          <c:spPr>
            <a:solidFill>
              <a:schemeClr val="accent3">
                <a:lumMod val="60000"/>
              </a:schemeClr>
            </a:solidFill>
            <a:ln w="25400">
              <a:noFill/>
            </a:ln>
            <a:effectLst/>
          </c:spPr>
          <c:cat>
            <c:strRef>
              <c:f>'Generation by financial year'!$C$7:$P$7</c:f>
              <c:strCache>
                <c:ptCount val="14"/>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strCache>
            </c:strRef>
          </c:cat>
          <c:val>
            <c:numRef>
              <c:f>'Generation by financial year'!$CO$9:$DB$9</c:f>
              <c:numCache>
                <c:formatCode>#,##0</c:formatCode>
                <c:ptCount val="14"/>
                <c:pt idx="0">
                  <c:v>268330.99646453117</c:v>
                </c:pt>
                <c:pt idx="1">
                  <c:v>270085.87583150237</c:v>
                </c:pt>
                <c:pt idx="2">
                  <c:v>274275.84348407987</c:v>
                </c:pt>
                <c:pt idx="3">
                  <c:v>274950.24390028778</c:v>
                </c:pt>
                <c:pt idx="4">
                  <c:v>276839.57332211721</c:v>
                </c:pt>
                <c:pt idx="5">
                  <c:v>292449.37877275574</c:v>
                </c:pt>
                <c:pt idx="6">
                  <c:v>292240.83673359209</c:v>
                </c:pt>
                <c:pt idx="7">
                  <c:v>292857.05801335268</c:v>
                </c:pt>
                <c:pt idx="8">
                  <c:v>315411.82251054142</c:v>
                </c:pt>
                <c:pt idx="9">
                  <c:v>396736.32599830424</c:v>
                </c:pt>
                <c:pt idx="10">
                  <c:v>175479.29613041884</c:v>
                </c:pt>
                <c:pt idx="11">
                  <c:v>254738.98096420712</c:v>
                </c:pt>
                <c:pt idx="12">
                  <c:v>443074.89725771965</c:v>
                </c:pt>
                <c:pt idx="13">
                  <c:v>403063.62802487565</c:v>
                </c:pt>
              </c:numCache>
            </c:numRef>
          </c:val>
          <c:extLst>
            <c:ext xmlns:c16="http://schemas.microsoft.com/office/drawing/2014/chart" uri="{C3380CC4-5D6E-409C-BE32-E72D297353CC}">
              <c16:uniqueId val="{00000010-50BE-4DE9-B6EB-3A340BE20FBB}"/>
            </c:ext>
          </c:extLst>
        </c:ser>
        <c:ser>
          <c:idx val="9"/>
          <c:order val="6"/>
          <c:tx>
            <c:v>Vic</c:v>
          </c:tx>
          <c:spPr>
            <a:solidFill>
              <a:schemeClr val="accent4">
                <a:lumMod val="60000"/>
              </a:schemeClr>
            </a:solidFill>
            <a:ln w="25400">
              <a:noFill/>
            </a:ln>
            <a:effectLst/>
          </c:spPr>
          <c:cat>
            <c:strRef>
              <c:f>'Generation by financial year'!$C$7:$P$7</c:f>
              <c:strCache>
                <c:ptCount val="14"/>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strCache>
            </c:strRef>
          </c:cat>
          <c:val>
            <c:numRef>
              <c:f>'Generation by financial year'!$DD$9:$DQ$9</c:f>
              <c:numCache>
                <c:formatCode>#,##0</c:formatCode>
                <c:ptCount val="14"/>
                <c:pt idx="0">
                  <c:v>1266900.2968195055</c:v>
                </c:pt>
                <c:pt idx="1">
                  <c:v>1171087.7383754798</c:v>
                </c:pt>
                <c:pt idx="2">
                  <c:v>965430.23913437547</c:v>
                </c:pt>
                <c:pt idx="3">
                  <c:v>959852.36641431251</c:v>
                </c:pt>
                <c:pt idx="4">
                  <c:v>1062951.1334325781</c:v>
                </c:pt>
                <c:pt idx="5">
                  <c:v>1035186.4175940227</c:v>
                </c:pt>
                <c:pt idx="6">
                  <c:v>1118305.93344731</c:v>
                </c:pt>
                <c:pt idx="7">
                  <c:v>939918.012994922</c:v>
                </c:pt>
                <c:pt idx="8">
                  <c:v>951558.75132078747</c:v>
                </c:pt>
                <c:pt idx="9">
                  <c:v>1010779.0851518229</c:v>
                </c:pt>
                <c:pt idx="10">
                  <c:v>1233941.1152137006</c:v>
                </c:pt>
                <c:pt idx="11">
                  <c:v>1500326.3458231951</c:v>
                </c:pt>
                <c:pt idx="12">
                  <c:v>1429659.5633519283</c:v>
                </c:pt>
                <c:pt idx="13">
                  <c:v>1908885.4776180533</c:v>
                </c:pt>
              </c:numCache>
            </c:numRef>
          </c:val>
          <c:extLst>
            <c:ext xmlns:c16="http://schemas.microsoft.com/office/drawing/2014/chart" uri="{C3380CC4-5D6E-409C-BE32-E72D297353CC}">
              <c16:uniqueId val="{00000011-50BE-4DE9-B6EB-3A340BE20FBB}"/>
            </c:ext>
          </c:extLst>
        </c:ser>
        <c:ser>
          <c:idx val="10"/>
          <c:order val="7"/>
          <c:tx>
            <c:strRef>
              <c:f>'Generation by financial year'!$DS$6</c:f>
              <c:strCache>
                <c:ptCount val="1"/>
                <c:pt idx="0">
                  <c:v>WA</c:v>
                </c:pt>
              </c:strCache>
            </c:strRef>
          </c:tx>
          <c:spPr>
            <a:solidFill>
              <a:schemeClr val="accent5">
                <a:lumMod val="60000"/>
              </a:schemeClr>
            </a:solidFill>
            <a:ln w="25400">
              <a:noFill/>
            </a:ln>
            <a:effectLst/>
          </c:spPr>
          <c:cat>
            <c:strRef>
              <c:f>'Generation by financial year'!$C$7:$P$7</c:f>
              <c:strCache>
                <c:ptCount val="14"/>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strCache>
            </c:strRef>
          </c:cat>
          <c:val>
            <c:numRef>
              <c:f>'Generation by financial year'!$DS$9:$EF$9</c:f>
              <c:numCache>
                <c:formatCode>#,##0</c:formatCode>
                <c:ptCount val="14"/>
                <c:pt idx="0">
                  <c:v>438354.91944984271</c:v>
                </c:pt>
                <c:pt idx="1">
                  <c:v>435379.31047633063</c:v>
                </c:pt>
                <c:pt idx="2">
                  <c:v>441910.74394373142</c:v>
                </c:pt>
                <c:pt idx="3">
                  <c:v>462738.49234965415</c:v>
                </c:pt>
                <c:pt idx="4">
                  <c:v>598879.66958064982</c:v>
                </c:pt>
                <c:pt idx="5">
                  <c:v>566392.44448633876</c:v>
                </c:pt>
                <c:pt idx="6">
                  <c:v>619996.86386930849</c:v>
                </c:pt>
                <c:pt idx="7">
                  <c:v>645786.58537035296</c:v>
                </c:pt>
                <c:pt idx="8">
                  <c:v>580273.90994717693</c:v>
                </c:pt>
                <c:pt idx="9">
                  <c:v>655248.64046531671</c:v>
                </c:pt>
                <c:pt idx="10">
                  <c:v>615922.35991171538</c:v>
                </c:pt>
                <c:pt idx="11">
                  <c:v>786932.95796697005</c:v>
                </c:pt>
                <c:pt idx="12">
                  <c:v>760325.05525004445</c:v>
                </c:pt>
                <c:pt idx="13">
                  <c:v>740733.62065448344</c:v>
                </c:pt>
              </c:numCache>
            </c:numRef>
          </c:val>
          <c:extLst>
            <c:ext xmlns:c16="http://schemas.microsoft.com/office/drawing/2014/chart" uri="{C3380CC4-5D6E-409C-BE32-E72D297353CC}">
              <c16:uniqueId val="{00000012-50BE-4DE9-B6EB-3A340BE20FBB}"/>
            </c:ext>
          </c:extLst>
        </c:ser>
        <c:dLbls>
          <c:showLegendKey val="0"/>
          <c:showVal val="0"/>
          <c:showCatName val="0"/>
          <c:showSerName val="0"/>
          <c:showPercent val="0"/>
          <c:showBubbleSize val="0"/>
        </c:dLbls>
        <c:axId val="1116250744"/>
        <c:axId val="1116248120"/>
      </c:areaChart>
      <c:catAx>
        <c:axId val="11162507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16248120"/>
        <c:crosses val="autoZero"/>
        <c:auto val="1"/>
        <c:lblAlgn val="ctr"/>
        <c:lblOffset val="100"/>
        <c:noMultiLvlLbl val="0"/>
      </c:catAx>
      <c:valAx>
        <c:axId val="1116248120"/>
        <c:scaling>
          <c:orientation val="minMax"/>
          <c:max val="800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Thousands of tonnes of waste generated</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16250744"/>
        <c:crosses val="autoZero"/>
        <c:crossBetween val="midCat"/>
        <c:dispUnits>
          <c:builtInUnit val="thousands"/>
        </c:dispUnits>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187660719625236"/>
          <c:y val="9.4993483730211992E-2"/>
          <c:w val="0.84934336688926537"/>
          <c:h val="0.74729650824385685"/>
        </c:manualLayout>
      </c:layout>
      <c:lineChart>
        <c:grouping val="standard"/>
        <c:varyColors val="0"/>
        <c:ser>
          <c:idx val="3"/>
          <c:order val="0"/>
          <c:tx>
            <c:v>ACT</c:v>
          </c:tx>
          <c:spPr>
            <a:ln w="19050" cap="rnd">
              <a:solidFill>
                <a:schemeClr val="accent5">
                  <a:lumMod val="40000"/>
                  <a:lumOff val="60000"/>
                </a:schemeClr>
              </a:solidFill>
              <a:round/>
            </a:ln>
            <a:effectLst/>
          </c:spPr>
          <c:marker>
            <c:symbol val="none"/>
          </c:marker>
          <c:cat>
            <c:strRef>
              <c:f>'Generation by financial year'!$C$7:$P$7</c:f>
              <c:strCache>
                <c:ptCount val="14"/>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strCache>
            </c:strRef>
          </c:cat>
          <c:val>
            <c:numRef>
              <c:f>'Generation by financial year'!$R$9:$AE$9</c:f>
              <c:numCache>
                <c:formatCode>#,##0</c:formatCode>
                <c:ptCount val="14"/>
                <c:pt idx="0">
                  <c:v>10430.433449672488</c:v>
                </c:pt>
                <c:pt idx="1">
                  <c:v>10254.250821808784</c:v>
                </c:pt>
                <c:pt idx="2">
                  <c:v>29097.567638382356</c:v>
                </c:pt>
                <c:pt idx="3">
                  <c:v>10807.420351220509</c:v>
                </c:pt>
                <c:pt idx="4">
                  <c:v>11970.263701225431</c:v>
                </c:pt>
                <c:pt idx="5">
                  <c:v>15808.469249853812</c:v>
                </c:pt>
                <c:pt idx="6">
                  <c:v>17249.288683921819</c:v>
                </c:pt>
                <c:pt idx="7">
                  <c:v>18174.650191253782</c:v>
                </c:pt>
                <c:pt idx="8">
                  <c:v>19416.205351908644</c:v>
                </c:pt>
                <c:pt idx="9">
                  <c:v>79745.408694506332</c:v>
                </c:pt>
                <c:pt idx="10">
                  <c:v>220661.04389542923</c:v>
                </c:pt>
                <c:pt idx="11">
                  <c:v>109005.06121195457</c:v>
                </c:pt>
                <c:pt idx="12">
                  <c:v>60437.808000000005</c:v>
                </c:pt>
                <c:pt idx="13">
                  <c:v>48013.437299999998</c:v>
                </c:pt>
              </c:numCache>
            </c:numRef>
          </c:val>
          <c:smooth val="0"/>
          <c:extLst>
            <c:ext xmlns:c16="http://schemas.microsoft.com/office/drawing/2014/chart" uri="{C3380CC4-5D6E-409C-BE32-E72D297353CC}">
              <c16:uniqueId val="{00000000-7F82-4B33-8958-24635D4CC3AA}"/>
            </c:ext>
          </c:extLst>
        </c:ser>
        <c:ser>
          <c:idx val="4"/>
          <c:order val="1"/>
          <c:tx>
            <c:v>NSW</c:v>
          </c:tx>
          <c:spPr>
            <a:ln w="19050" cap="rnd">
              <a:solidFill>
                <a:srgbClr val="00B0F0"/>
              </a:solidFill>
              <a:round/>
            </a:ln>
            <a:effectLst/>
          </c:spPr>
          <c:marker>
            <c:symbol val="none"/>
          </c:marker>
          <c:cat>
            <c:strRef>
              <c:f>'Generation by financial year'!$C$7:$P$7</c:f>
              <c:strCache>
                <c:ptCount val="14"/>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strCache>
            </c:strRef>
          </c:cat>
          <c:val>
            <c:numRef>
              <c:f>'Generation by financial year'!$AG$9:$AT$9</c:f>
              <c:numCache>
                <c:formatCode>#,##0</c:formatCode>
                <c:ptCount val="14"/>
                <c:pt idx="0">
                  <c:v>1122246.4741144949</c:v>
                </c:pt>
                <c:pt idx="1">
                  <c:v>1117130.5987027949</c:v>
                </c:pt>
                <c:pt idx="2">
                  <c:v>1181880.1693614197</c:v>
                </c:pt>
                <c:pt idx="3">
                  <c:v>1285534.0028234494</c:v>
                </c:pt>
                <c:pt idx="4">
                  <c:v>1126377.5240072478</c:v>
                </c:pt>
                <c:pt idx="5">
                  <c:v>1279097.2985250519</c:v>
                </c:pt>
                <c:pt idx="6">
                  <c:v>1695348.2825311292</c:v>
                </c:pt>
                <c:pt idx="7">
                  <c:v>1686808.0597803395</c:v>
                </c:pt>
                <c:pt idx="8">
                  <c:v>1330016.5044165843</c:v>
                </c:pt>
                <c:pt idx="9">
                  <c:v>1789623.0210889908</c:v>
                </c:pt>
                <c:pt idx="10">
                  <c:v>1712896.4888256865</c:v>
                </c:pt>
                <c:pt idx="11">
                  <c:v>2596781.3950194679</c:v>
                </c:pt>
                <c:pt idx="12">
                  <c:v>2847804.3540747575</c:v>
                </c:pt>
                <c:pt idx="13">
                  <c:v>2349288.7721282328</c:v>
                </c:pt>
              </c:numCache>
            </c:numRef>
          </c:val>
          <c:smooth val="0"/>
          <c:extLst>
            <c:ext xmlns:c16="http://schemas.microsoft.com/office/drawing/2014/chart" uri="{C3380CC4-5D6E-409C-BE32-E72D297353CC}">
              <c16:uniqueId val="{00000001-7F82-4B33-8958-24635D4CC3AA}"/>
            </c:ext>
          </c:extLst>
        </c:ser>
        <c:ser>
          <c:idx val="5"/>
          <c:order val="2"/>
          <c:tx>
            <c:strRef>
              <c:f>'Generation by financial year'!$AV$6</c:f>
              <c:strCache>
                <c:ptCount val="1"/>
                <c:pt idx="0">
                  <c:v>NT</c:v>
                </c:pt>
              </c:strCache>
            </c:strRef>
          </c:tx>
          <c:spPr>
            <a:ln w="19050" cap="rnd">
              <a:solidFill>
                <a:schemeClr val="accent6"/>
              </a:solidFill>
              <a:round/>
            </a:ln>
            <a:effectLst/>
          </c:spPr>
          <c:marker>
            <c:symbol val="none"/>
          </c:marker>
          <c:cat>
            <c:strRef>
              <c:f>'Generation by financial year'!$C$7:$P$7</c:f>
              <c:strCache>
                <c:ptCount val="14"/>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strCache>
            </c:strRef>
          </c:cat>
          <c:val>
            <c:numRef>
              <c:f>'Generation by financial year'!$AV$9:$BI$9</c:f>
              <c:numCache>
                <c:formatCode>#,##0</c:formatCode>
                <c:ptCount val="14"/>
                <c:pt idx="0">
                  <c:v>30563.003293033427</c:v>
                </c:pt>
                <c:pt idx="1">
                  <c:v>31372.449508505055</c:v>
                </c:pt>
                <c:pt idx="2">
                  <c:v>32228.096000007383</c:v>
                </c:pt>
                <c:pt idx="3">
                  <c:v>32989.459169578753</c:v>
                </c:pt>
                <c:pt idx="4">
                  <c:v>33353.847553569911</c:v>
                </c:pt>
                <c:pt idx="5">
                  <c:v>33725.891055202359</c:v>
                </c:pt>
                <c:pt idx="6">
                  <c:v>34686.349951920885</c:v>
                </c:pt>
                <c:pt idx="7">
                  <c:v>35194.054959085421</c:v>
                </c:pt>
                <c:pt idx="8">
                  <c:v>32621.8182222092</c:v>
                </c:pt>
                <c:pt idx="9">
                  <c:v>24004.615151421982</c:v>
                </c:pt>
                <c:pt idx="10">
                  <c:v>30131.101500845951</c:v>
                </c:pt>
                <c:pt idx="11">
                  <c:v>28235.377716719133</c:v>
                </c:pt>
                <c:pt idx="12">
                  <c:v>78277.144330000025</c:v>
                </c:pt>
                <c:pt idx="13">
                  <c:v>54660.278717512396</c:v>
                </c:pt>
              </c:numCache>
            </c:numRef>
          </c:val>
          <c:smooth val="0"/>
          <c:extLst>
            <c:ext xmlns:c16="http://schemas.microsoft.com/office/drawing/2014/chart" uri="{C3380CC4-5D6E-409C-BE32-E72D297353CC}">
              <c16:uniqueId val="{00000002-7F82-4B33-8958-24635D4CC3AA}"/>
            </c:ext>
          </c:extLst>
        </c:ser>
        <c:ser>
          <c:idx val="6"/>
          <c:order val="3"/>
          <c:tx>
            <c:v>Qld</c:v>
          </c:tx>
          <c:spPr>
            <a:ln w="19050" cap="rnd">
              <a:solidFill>
                <a:srgbClr val="963634"/>
              </a:solidFill>
              <a:round/>
            </a:ln>
            <a:effectLst/>
          </c:spPr>
          <c:marker>
            <c:symbol val="none"/>
          </c:marker>
          <c:cat>
            <c:strRef>
              <c:f>'Generation by financial year'!$C$7:$P$7</c:f>
              <c:strCache>
                <c:ptCount val="14"/>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strCache>
            </c:strRef>
          </c:cat>
          <c:val>
            <c:numRef>
              <c:f>'Generation by financial year'!$BK$9:$BX$9</c:f>
              <c:numCache>
                <c:formatCode>#,##0</c:formatCode>
                <c:ptCount val="14"/>
                <c:pt idx="0">
                  <c:v>1480955.5547729353</c:v>
                </c:pt>
                <c:pt idx="1">
                  <c:v>2319275.9109006538</c:v>
                </c:pt>
                <c:pt idx="2">
                  <c:v>1386208.7522120397</c:v>
                </c:pt>
                <c:pt idx="3">
                  <c:v>1340053.261536733</c:v>
                </c:pt>
                <c:pt idx="4">
                  <c:v>1390525.8111028052</c:v>
                </c:pt>
                <c:pt idx="5">
                  <c:v>1182725.7600447494</c:v>
                </c:pt>
                <c:pt idx="6">
                  <c:v>1592959.7383428738</c:v>
                </c:pt>
                <c:pt idx="7">
                  <c:v>2051769.2201394304</c:v>
                </c:pt>
                <c:pt idx="8">
                  <c:v>1727225.2252268726</c:v>
                </c:pt>
                <c:pt idx="9">
                  <c:v>1486922.5973219534</c:v>
                </c:pt>
                <c:pt idx="10">
                  <c:v>2040034.2868940854</c:v>
                </c:pt>
                <c:pt idx="11">
                  <c:v>2058448.4176603535</c:v>
                </c:pt>
                <c:pt idx="12">
                  <c:v>1936207.2770448762</c:v>
                </c:pt>
                <c:pt idx="13">
                  <c:v>1461416.1585319443</c:v>
                </c:pt>
              </c:numCache>
            </c:numRef>
          </c:val>
          <c:smooth val="0"/>
          <c:extLst>
            <c:ext xmlns:c16="http://schemas.microsoft.com/office/drawing/2014/chart" uri="{C3380CC4-5D6E-409C-BE32-E72D297353CC}">
              <c16:uniqueId val="{00000003-7F82-4B33-8958-24635D4CC3AA}"/>
            </c:ext>
          </c:extLst>
        </c:ser>
        <c:ser>
          <c:idx val="7"/>
          <c:order val="4"/>
          <c:tx>
            <c:v>SA</c:v>
          </c:tx>
          <c:spPr>
            <a:ln w="19050" cap="rnd">
              <a:solidFill>
                <a:srgbClr val="FF0000"/>
              </a:solidFill>
              <a:round/>
            </a:ln>
            <a:effectLst/>
          </c:spPr>
          <c:marker>
            <c:symbol val="none"/>
          </c:marker>
          <c:cat>
            <c:strRef>
              <c:f>'Generation by financial year'!$C$7:$P$7</c:f>
              <c:strCache>
                <c:ptCount val="14"/>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strCache>
            </c:strRef>
          </c:cat>
          <c:val>
            <c:numRef>
              <c:f>'Generation by financial year'!$BZ$9:$CM$9</c:f>
              <c:numCache>
                <c:formatCode>#,##0</c:formatCode>
                <c:ptCount val="14"/>
                <c:pt idx="0">
                  <c:v>185726.84325831564</c:v>
                </c:pt>
                <c:pt idx="1">
                  <c:v>350233.78295965912</c:v>
                </c:pt>
                <c:pt idx="2">
                  <c:v>190483.76450899092</c:v>
                </c:pt>
                <c:pt idx="3">
                  <c:v>232375.94649283995</c:v>
                </c:pt>
                <c:pt idx="4">
                  <c:v>471719.66263389686</c:v>
                </c:pt>
                <c:pt idx="5">
                  <c:v>866612.206531459</c:v>
                </c:pt>
                <c:pt idx="6">
                  <c:v>546370.89328476659</c:v>
                </c:pt>
                <c:pt idx="7">
                  <c:v>314051.83999902988</c:v>
                </c:pt>
                <c:pt idx="8">
                  <c:v>474995.5626063323</c:v>
                </c:pt>
                <c:pt idx="9">
                  <c:v>358274.77203694347</c:v>
                </c:pt>
                <c:pt idx="10">
                  <c:v>460603.10370726732</c:v>
                </c:pt>
                <c:pt idx="11">
                  <c:v>582532.12593304436</c:v>
                </c:pt>
                <c:pt idx="12">
                  <c:v>449400.56644431321</c:v>
                </c:pt>
                <c:pt idx="13">
                  <c:v>410115.99423888052</c:v>
                </c:pt>
              </c:numCache>
            </c:numRef>
          </c:val>
          <c:smooth val="0"/>
          <c:extLst>
            <c:ext xmlns:c16="http://schemas.microsoft.com/office/drawing/2014/chart" uri="{C3380CC4-5D6E-409C-BE32-E72D297353CC}">
              <c16:uniqueId val="{00000004-7F82-4B33-8958-24635D4CC3AA}"/>
            </c:ext>
          </c:extLst>
        </c:ser>
        <c:ser>
          <c:idx val="8"/>
          <c:order val="5"/>
          <c:tx>
            <c:v>Tas</c:v>
          </c:tx>
          <c:spPr>
            <a:ln w="19050" cap="rnd">
              <a:solidFill>
                <a:srgbClr val="00B050"/>
              </a:solidFill>
              <a:round/>
            </a:ln>
            <a:effectLst/>
          </c:spPr>
          <c:marker>
            <c:symbol val="none"/>
          </c:marker>
          <c:cat>
            <c:strRef>
              <c:f>'Generation by financial year'!$C$7:$P$7</c:f>
              <c:strCache>
                <c:ptCount val="14"/>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strCache>
            </c:strRef>
          </c:cat>
          <c:val>
            <c:numRef>
              <c:f>'Generation by financial year'!$CO$9:$DB$9</c:f>
              <c:numCache>
                <c:formatCode>#,##0</c:formatCode>
                <c:ptCount val="14"/>
                <c:pt idx="0">
                  <c:v>268330.99646453117</c:v>
                </c:pt>
                <c:pt idx="1">
                  <c:v>270085.87583150237</c:v>
                </c:pt>
                <c:pt idx="2">
                  <c:v>274275.84348407987</c:v>
                </c:pt>
                <c:pt idx="3">
                  <c:v>274950.24390028778</c:v>
                </c:pt>
                <c:pt idx="4">
                  <c:v>276839.57332211721</c:v>
                </c:pt>
                <c:pt idx="5">
                  <c:v>292449.37877275574</c:v>
                </c:pt>
                <c:pt idx="6">
                  <c:v>292240.83673359209</c:v>
                </c:pt>
                <c:pt idx="7">
                  <c:v>292857.05801335268</c:v>
                </c:pt>
                <c:pt idx="8">
                  <c:v>315411.82251054142</c:v>
                </c:pt>
                <c:pt idx="9">
                  <c:v>396736.32599830424</c:v>
                </c:pt>
                <c:pt idx="10">
                  <c:v>175479.29613041884</c:v>
                </c:pt>
                <c:pt idx="11">
                  <c:v>254738.98096420712</c:v>
                </c:pt>
                <c:pt idx="12">
                  <c:v>443074.89725771965</c:v>
                </c:pt>
                <c:pt idx="13">
                  <c:v>403063.62802487565</c:v>
                </c:pt>
              </c:numCache>
            </c:numRef>
          </c:val>
          <c:smooth val="0"/>
          <c:extLst>
            <c:ext xmlns:c16="http://schemas.microsoft.com/office/drawing/2014/chart" uri="{C3380CC4-5D6E-409C-BE32-E72D297353CC}">
              <c16:uniqueId val="{00000005-7F82-4B33-8958-24635D4CC3AA}"/>
            </c:ext>
          </c:extLst>
        </c:ser>
        <c:ser>
          <c:idx val="9"/>
          <c:order val="6"/>
          <c:tx>
            <c:v>Vic</c:v>
          </c:tx>
          <c:spPr>
            <a:ln w="19050" cap="rnd">
              <a:solidFill>
                <a:srgbClr val="002060"/>
              </a:solidFill>
              <a:round/>
            </a:ln>
            <a:effectLst/>
          </c:spPr>
          <c:marker>
            <c:symbol val="none"/>
          </c:marker>
          <c:cat>
            <c:strRef>
              <c:f>'Generation by financial year'!$C$7:$P$7</c:f>
              <c:strCache>
                <c:ptCount val="14"/>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strCache>
            </c:strRef>
          </c:cat>
          <c:val>
            <c:numRef>
              <c:f>'Generation by financial year'!$DD$9:$DQ$9</c:f>
              <c:numCache>
                <c:formatCode>#,##0</c:formatCode>
                <c:ptCount val="14"/>
                <c:pt idx="0">
                  <c:v>1266900.2968195055</c:v>
                </c:pt>
                <c:pt idx="1">
                  <c:v>1171087.7383754798</c:v>
                </c:pt>
                <c:pt idx="2">
                  <c:v>965430.23913437547</c:v>
                </c:pt>
                <c:pt idx="3">
                  <c:v>959852.36641431251</c:v>
                </c:pt>
                <c:pt idx="4">
                  <c:v>1062951.1334325781</c:v>
                </c:pt>
                <c:pt idx="5">
                  <c:v>1035186.4175940227</c:v>
                </c:pt>
                <c:pt idx="6">
                  <c:v>1118305.93344731</c:v>
                </c:pt>
                <c:pt idx="7">
                  <c:v>939918.012994922</c:v>
                </c:pt>
                <c:pt idx="8">
                  <c:v>951558.75132078747</c:v>
                </c:pt>
                <c:pt idx="9">
                  <c:v>1010779.0851518229</c:v>
                </c:pt>
                <c:pt idx="10">
                  <c:v>1233941.1152137006</c:v>
                </c:pt>
                <c:pt idx="11">
                  <c:v>1500326.3458231951</c:v>
                </c:pt>
                <c:pt idx="12">
                  <c:v>1429659.5633519283</c:v>
                </c:pt>
                <c:pt idx="13">
                  <c:v>1908885.4776180533</c:v>
                </c:pt>
              </c:numCache>
            </c:numRef>
          </c:val>
          <c:smooth val="0"/>
          <c:extLst>
            <c:ext xmlns:c16="http://schemas.microsoft.com/office/drawing/2014/chart" uri="{C3380CC4-5D6E-409C-BE32-E72D297353CC}">
              <c16:uniqueId val="{00000006-7F82-4B33-8958-24635D4CC3AA}"/>
            </c:ext>
          </c:extLst>
        </c:ser>
        <c:ser>
          <c:idx val="10"/>
          <c:order val="7"/>
          <c:tx>
            <c:v>WA</c:v>
          </c:tx>
          <c:spPr>
            <a:ln w="19050" cap="rnd">
              <a:solidFill>
                <a:srgbClr val="FFCC99"/>
              </a:solidFill>
              <a:round/>
            </a:ln>
            <a:effectLst/>
          </c:spPr>
          <c:marker>
            <c:symbol val="none"/>
          </c:marker>
          <c:cat>
            <c:strRef>
              <c:f>'Generation by financial year'!$C$7:$P$7</c:f>
              <c:strCache>
                <c:ptCount val="14"/>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strCache>
            </c:strRef>
          </c:cat>
          <c:val>
            <c:numRef>
              <c:f>'Generation by financial year'!$DS$9:$EF$9</c:f>
              <c:numCache>
                <c:formatCode>#,##0</c:formatCode>
                <c:ptCount val="14"/>
                <c:pt idx="0">
                  <c:v>438354.91944984271</c:v>
                </c:pt>
                <c:pt idx="1">
                  <c:v>435379.31047633063</c:v>
                </c:pt>
                <c:pt idx="2">
                  <c:v>441910.74394373142</c:v>
                </c:pt>
                <c:pt idx="3">
                  <c:v>462738.49234965415</c:v>
                </c:pt>
                <c:pt idx="4">
                  <c:v>598879.66958064982</c:v>
                </c:pt>
                <c:pt idx="5">
                  <c:v>566392.44448633876</c:v>
                </c:pt>
                <c:pt idx="6">
                  <c:v>619996.86386930849</c:v>
                </c:pt>
                <c:pt idx="7">
                  <c:v>645786.58537035296</c:v>
                </c:pt>
                <c:pt idx="8">
                  <c:v>580273.90994717693</c:v>
                </c:pt>
                <c:pt idx="9">
                  <c:v>655248.64046531671</c:v>
                </c:pt>
                <c:pt idx="10">
                  <c:v>615922.35991171538</c:v>
                </c:pt>
                <c:pt idx="11">
                  <c:v>786932.95796697005</c:v>
                </c:pt>
                <c:pt idx="12">
                  <c:v>760325.05525004445</c:v>
                </c:pt>
                <c:pt idx="13">
                  <c:v>740733.62065448344</c:v>
                </c:pt>
              </c:numCache>
            </c:numRef>
          </c:val>
          <c:smooth val="0"/>
          <c:extLst>
            <c:ext xmlns:c16="http://schemas.microsoft.com/office/drawing/2014/chart" uri="{C3380CC4-5D6E-409C-BE32-E72D297353CC}">
              <c16:uniqueId val="{00000007-7F82-4B33-8958-24635D4CC3AA}"/>
            </c:ext>
          </c:extLst>
        </c:ser>
        <c:dLbls>
          <c:showLegendKey val="0"/>
          <c:showVal val="0"/>
          <c:showCatName val="0"/>
          <c:showSerName val="0"/>
          <c:showPercent val="0"/>
          <c:showBubbleSize val="0"/>
        </c:dLbls>
        <c:smooth val="0"/>
        <c:axId val="1116250744"/>
        <c:axId val="1116248120"/>
      </c:lineChart>
      <c:catAx>
        <c:axId val="11162507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116248120"/>
        <c:crosses val="autoZero"/>
        <c:auto val="1"/>
        <c:lblAlgn val="ctr"/>
        <c:lblOffset val="100"/>
        <c:noMultiLvlLbl val="0"/>
      </c:catAx>
      <c:valAx>
        <c:axId val="111624812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en-US"/>
                  <a:t>Millions of tonnes of waste generated</a:t>
                </a:r>
              </a:p>
            </c:rich>
          </c:tx>
          <c:layout>
            <c:manualLayout>
              <c:xMode val="edge"/>
              <c:yMode val="edge"/>
              <c:x val="1.3774349740571066E-2"/>
              <c:y val="0.145805644689908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116250744"/>
        <c:crosses val="autoZero"/>
        <c:crossBetween val="between"/>
        <c:dispUnits>
          <c:builtInUnit val="millions"/>
        </c:dispUnits>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chemeClr val="tx1"/>
          </a:solidFill>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Contaminated soil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areaChart>
        <c:grouping val="stacked"/>
        <c:varyColors val="0"/>
        <c:ser>
          <c:idx val="3"/>
          <c:order val="0"/>
          <c:tx>
            <c:strRef>
              <c:f>'Generation by financial year'!$R$6</c:f>
              <c:strCache>
                <c:ptCount val="1"/>
                <c:pt idx="0">
                  <c:v>ACT</c:v>
                </c:pt>
              </c:strCache>
            </c:strRef>
          </c:tx>
          <c:spPr>
            <a:solidFill>
              <a:schemeClr val="accent4"/>
            </a:solidFill>
            <a:ln w="25400">
              <a:noFill/>
            </a:ln>
            <a:effectLst/>
          </c:spPr>
          <c:cat>
            <c:strRef>
              <c:f>'Generation by financial year'!$C$7:$P$7</c:f>
              <c:strCache>
                <c:ptCount val="14"/>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strCache>
            </c:strRef>
          </c:cat>
          <c:val>
            <c:numRef>
              <c:f>'Generation by financial year'!$R$173:$AD$173</c:f>
              <c:numCache>
                <c:formatCode>#,##0</c:formatCode>
                <c:ptCount val="13"/>
                <c:pt idx="0">
                  <c:v>246.98740374167409</c:v>
                </c:pt>
                <c:pt idx="1">
                  <c:v>251.21722753403535</c:v>
                </c:pt>
                <c:pt idx="2">
                  <c:v>256.27184871817718</c:v>
                </c:pt>
                <c:pt idx="3">
                  <c:v>261.20457506654259</c:v>
                </c:pt>
                <c:pt idx="4">
                  <c:v>266.2949618013015</c:v>
                </c:pt>
                <c:pt idx="5">
                  <c:v>271.37950926249022</c:v>
                </c:pt>
                <c:pt idx="6">
                  <c:v>277.35673567071223</c:v>
                </c:pt>
                <c:pt idx="7">
                  <c:v>282.26610492479711</c:v>
                </c:pt>
                <c:pt idx="8">
                  <c:v>598.91999999999996</c:v>
                </c:pt>
                <c:pt idx="9">
                  <c:v>8.870000000000001</c:v>
                </c:pt>
                <c:pt idx="10">
                  <c:v>22.561999999999998</c:v>
                </c:pt>
                <c:pt idx="11">
                  <c:v>787.47799999999995</c:v>
                </c:pt>
                <c:pt idx="12">
                  <c:v>15</c:v>
                </c:pt>
              </c:numCache>
            </c:numRef>
          </c:val>
          <c:extLst>
            <c:ext xmlns:c16="http://schemas.microsoft.com/office/drawing/2014/chart" uri="{C3380CC4-5D6E-409C-BE32-E72D297353CC}">
              <c16:uniqueId val="{00000000-5AC4-47AE-B64B-FFAC5287E859}"/>
            </c:ext>
          </c:extLst>
        </c:ser>
        <c:ser>
          <c:idx val="4"/>
          <c:order val="1"/>
          <c:tx>
            <c:strRef>
              <c:f>'Generation by financial year'!$AG$6</c:f>
              <c:strCache>
                <c:ptCount val="1"/>
                <c:pt idx="0">
                  <c:v>NSW</c:v>
                </c:pt>
              </c:strCache>
            </c:strRef>
          </c:tx>
          <c:spPr>
            <a:solidFill>
              <a:schemeClr val="accent5"/>
            </a:solidFill>
            <a:ln w="25400">
              <a:noFill/>
            </a:ln>
            <a:effectLst/>
          </c:spPr>
          <c:cat>
            <c:strRef>
              <c:f>'Generation by financial year'!$C$7:$P$7</c:f>
              <c:strCache>
                <c:ptCount val="14"/>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strCache>
            </c:strRef>
          </c:cat>
          <c:val>
            <c:numRef>
              <c:f>'Generation by financial year'!$AG$173:$AS$173</c:f>
              <c:numCache>
                <c:formatCode>#,##0</c:formatCode>
                <c:ptCount val="13"/>
                <c:pt idx="0">
                  <c:v>455345.83867459197</c:v>
                </c:pt>
                <c:pt idx="1">
                  <c:v>461900.89273635863</c:v>
                </c:pt>
                <c:pt idx="2">
                  <c:v>469813.90020374733</c:v>
                </c:pt>
                <c:pt idx="3">
                  <c:v>476505.16562105366</c:v>
                </c:pt>
                <c:pt idx="4">
                  <c:v>481764.8698213945</c:v>
                </c:pt>
                <c:pt idx="5">
                  <c:v>487279.34964586556</c:v>
                </c:pt>
                <c:pt idx="6">
                  <c:v>493738.78736199473</c:v>
                </c:pt>
                <c:pt idx="7">
                  <c:v>555300</c:v>
                </c:pt>
                <c:pt idx="8">
                  <c:v>453629.66700000002</c:v>
                </c:pt>
                <c:pt idx="9">
                  <c:v>613242</c:v>
                </c:pt>
                <c:pt idx="10">
                  <c:v>352783.4824479791</c:v>
                </c:pt>
                <c:pt idx="11">
                  <c:v>697395.99168000009</c:v>
                </c:pt>
                <c:pt idx="12">
                  <c:v>822851.07200000004</c:v>
                </c:pt>
              </c:numCache>
            </c:numRef>
          </c:val>
          <c:extLst>
            <c:ext xmlns:c16="http://schemas.microsoft.com/office/drawing/2014/chart" uri="{C3380CC4-5D6E-409C-BE32-E72D297353CC}">
              <c16:uniqueId val="{00000001-5AC4-47AE-B64B-FFAC5287E859}"/>
            </c:ext>
          </c:extLst>
        </c:ser>
        <c:ser>
          <c:idx val="5"/>
          <c:order val="2"/>
          <c:tx>
            <c:strRef>
              <c:f>'Generation by financial year'!$AV$6</c:f>
              <c:strCache>
                <c:ptCount val="1"/>
                <c:pt idx="0">
                  <c:v>NT</c:v>
                </c:pt>
              </c:strCache>
            </c:strRef>
          </c:tx>
          <c:spPr>
            <a:solidFill>
              <a:schemeClr val="accent6"/>
            </a:solidFill>
            <a:ln w="25400">
              <a:noFill/>
            </a:ln>
            <a:effectLst/>
          </c:spPr>
          <c:cat>
            <c:strRef>
              <c:f>'Generation by financial year'!$C$7:$P$7</c:f>
              <c:strCache>
                <c:ptCount val="14"/>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strCache>
            </c:strRef>
          </c:cat>
          <c:val>
            <c:numRef>
              <c:f>'Generation by financial year'!$AV$173:$BH$173</c:f>
              <c:numCache>
                <c:formatCode>#,##0</c:formatCode>
                <c:ptCount val="13"/>
                <c:pt idx="0">
                  <c:v>6262.1742136811663</c:v>
                </c:pt>
                <c:pt idx="1">
                  <c:v>6428.0248393310258</c:v>
                </c:pt>
                <c:pt idx="2">
                  <c:v>6603.3416216425958</c:v>
                </c:pt>
                <c:pt idx="3">
                  <c:v>6759.3403224909234</c:v>
                </c:pt>
                <c:pt idx="4">
                  <c:v>6834.0012947820396</c:v>
                </c:pt>
                <c:pt idx="5">
                  <c:v>6906.941147680116</c:v>
                </c:pt>
                <c:pt idx="6">
                  <c:v>7105.1072736578872</c:v>
                </c:pt>
                <c:pt idx="7">
                  <c:v>7212.9146315011394</c:v>
                </c:pt>
                <c:pt idx="8">
                  <c:v>12064.803589770108</c:v>
                </c:pt>
                <c:pt idx="9">
                  <c:v>6068.8130961605675</c:v>
                </c:pt>
                <c:pt idx="10">
                  <c:v>8646.16960930192</c:v>
                </c:pt>
                <c:pt idx="11">
                  <c:v>8686.4299295539895</c:v>
                </c:pt>
                <c:pt idx="12">
                  <c:v>622.69000000000005</c:v>
                </c:pt>
              </c:numCache>
            </c:numRef>
          </c:val>
          <c:extLst>
            <c:ext xmlns:c16="http://schemas.microsoft.com/office/drawing/2014/chart" uri="{C3380CC4-5D6E-409C-BE32-E72D297353CC}">
              <c16:uniqueId val="{00000002-5AC4-47AE-B64B-FFAC5287E859}"/>
            </c:ext>
          </c:extLst>
        </c:ser>
        <c:ser>
          <c:idx val="6"/>
          <c:order val="3"/>
          <c:tx>
            <c:strRef>
              <c:f>'Generation by financial year'!$BK$6</c:f>
              <c:strCache>
                <c:ptCount val="1"/>
                <c:pt idx="0">
                  <c:v>Qld</c:v>
                </c:pt>
              </c:strCache>
            </c:strRef>
          </c:tx>
          <c:spPr>
            <a:solidFill>
              <a:schemeClr val="accent1">
                <a:lumMod val="60000"/>
              </a:schemeClr>
            </a:solidFill>
            <a:ln w="25400">
              <a:noFill/>
            </a:ln>
            <a:effectLst/>
          </c:spPr>
          <c:cat>
            <c:strRef>
              <c:f>'Generation by financial year'!$C$7:$P$7</c:f>
              <c:strCache>
                <c:ptCount val="14"/>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strCache>
            </c:strRef>
          </c:cat>
          <c:val>
            <c:numRef>
              <c:f>'Generation by financial year'!$BK$173:$BW$173</c:f>
              <c:numCache>
                <c:formatCode>#,##0</c:formatCode>
                <c:ptCount val="13"/>
                <c:pt idx="0">
                  <c:v>693604.23272666661</c:v>
                </c:pt>
                <c:pt idx="1">
                  <c:v>1508000</c:v>
                </c:pt>
                <c:pt idx="2">
                  <c:v>712729</c:v>
                </c:pt>
                <c:pt idx="3">
                  <c:v>543803</c:v>
                </c:pt>
                <c:pt idx="4">
                  <c:v>428076</c:v>
                </c:pt>
                <c:pt idx="5">
                  <c:v>238564</c:v>
                </c:pt>
                <c:pt idx="6">
                  <c:v>327585</c:v>
                </c:pt>
                <c:pt idx="7">
                  <c:v>708379</c:v>
                </c:pt>
                <c:pt idx="8">
                  <c:v>418738.913</c:v>
                </c:pt>
                <c:pt idx="9">
                  <c:v>573594</c:v>
                </c:pt>
                <c:pt idx="10">
                  <c:v>1047257</c:v>
                </c:pt>
                <c:pt idx="11">
                  <c:v>988781.29171999986</c:v>
                </c:pt>
                <c:pt idx="12">
                  <c:v>827743.58799999999</c:v>
                </c:pt>
              </c:numCache>
            </c:numRef>
          </c:val>
          <c:extLst>
            <c:ext xmlns:c16="http://schemas.microsoft.com/office/drawing/2014/chart" uri="{C3380CC4-5D6E-409C-BE32-E72D297353CC}">
              <c16:uniqueId val="{00000003-5AC4-47AE-B64B-FFAC5287E859}"/>
            </c:ext>
          </c:extLst>
        </c:ser>
        <c:ser>
          <c:idx val="7"/>
          <c:order val="4"/>
          <c:tx>
            <c:strRef>
              <c:f>'Generation by financial year'!$BZ$6</c:f>
              <c:strCache>
                <c:ptCount val="1"/>
                <c:pt idx="0">
                  <c:v>SA</c:v>
                </c:pt>
              </c:strCache>
            </c:strRef>
          </c:tx>
          <c:spPr>
            <a:solidFill>
              <a:schemeClr val="accent2">
                <a:lumMod val="60000"/>
              </a:schemeClr>
            </a:solidFill>
            <a:ln w="25400">
              <a:noFill/>
            </a:ln>
            <a:effectLst/>
          </c:spPr>
          <c:cat>
            <c:strRef>
              <c:f>'Generation by financial year'!$C$7:$P$7</c:f>
              <c:strCache>
                <c:ptCount val="14"/>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strCache>
            </c:strRef>
          </c:cat>
          <c:val>
            <c:numRef>
              <c:f>'Generation by financial year'!$BZ$173:$CL$173</c:f>
              <c:numCache>
                <c:formatCode>#,##0</c:formatCode>
                <c:ptCount val="13"/>
                <c:pt idx="0">
                  <c:v>29853.73</c:v>
                </c:pt>
                <c:pt idx="1">
                  <c:v>188350.77999999997</c:v>
                </c:pt>
                <c:pt idx="2">
                  <c:v>41506.86</c:v>
                </c:pt>
                <c:pt idx="3">
                  <c:v>56466.409999999996</c:v>
                </c:pt>
                <c:pt idx="4">
                  <c:v>202655.41</c:v>
                </c:pt>
                <c:pt idx="5">
                  <c:v>427945.96</c:v>
                </c:pt>
                <c:pt idx="6">
                  <c:v>257835.39</c:v>
                </c:pt>
                <c:pt idx="7">
                  <c:v>145386.85999999999</c:v>
                </c:pt>
                <c:pt idx="8">
                  <c:v>206303.05315389636</c:v>
                </c:pt>
                <c:pt idx="9">
                  <c:v>158835.50384000011</c:v>
                </c:pt>
                <c:pt idx="10">
                  <c:v>227582.18512999971</c:v>
                </c:pt>
                <c:pt idx="11">
                  <c:v>361540.4748199996</c:v>
                </c:pt>
                <c:pt idx="12">
                  <c:v>223197.90492999999</c:v>
                </c:pt>
              </c:numCache>
            </c:numRef>
          </c:val>
          <c:extLst>
            <c:ext xmlns:c16="http://schemas.microsoft.com/office/drawing/2014/chart" uri="{C3380CC4-5D6E-409C-BE32-E72D297353CC}">
              <c16:uniqueId val="{00000004-5AC4-47AE-B64B-FFAC5287E859}"/>
            </c:ext>
          </c:extLst>
        </c:ser>
        <c:ser>
          <c:idx val="8"/>
          <c:order val="5"/>
          <c:tx>
            <c:strRef>
              <c:f>'Generation by financial year'!$CO$6</c:f>
              <c:strCache>
                <c:ptCount val="1"/>
                <c:pt idx="0">
                  <c:v>Tas</c:v>
                </c:pt>
              </c:strCache>
            </c:strRef>
          </c:tx>
          <c:spPr>
            <a:solidFill>
              <a:schemeClr val="accent3">
                <a:lumMod val="60000"/>
              </a:schemeClr>
            </a:solidFill>
            <a:ln w="25400">
              <a:noFill/>
            </a:ln>
            <a:effectLst/>
          </c:spPr>
          <c:cat>
            <c:strRef>
              <c:f>'Generation by financial year'!$C$7:$P$7</c:f>
              <c:strCache>
                <c:ptCount val="14"/>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strCache>
            </c:strRef>
          </c:cat>
          <c:val>
            <c:numRef>
              <c:f>'Generation by financial year'!$CO$173:$DA$173</c:f>
              <c:numCache>
                <c:formatCode>#,##0</c:formatCode>
                <c:ptCount val="13"/>
                <c:pt idx="0">
                  <c:v>5379.7733723464644</c:v>
                </c:pt>
                <c:pt idx="1">
                  <c:v>5427.3087593765677</c:v>
                </c:pt>
                <c:pt idx="2">
                  <c:v>5492.0610848819988</c:v>
                </c:pt>
                <c:pt idx="3">
                  <c:v>5543.3616510828015</c:v>
                </c:pt>
                <c:pt idx="4">
                  <c:v>5584.4940444650538</c:v>
                </c:pt>
                <c:pt idx="5">
                  <c:v>5602.236356778154</c:v>
                </c:pt>
                <c:pt idx="6">
                  <c:v>5605.0274052913201</c:v>
                </c:pt>
                <c:pt idx="7">
                  <c:v>5617.5925962447063</c:v>
                </c:pt>
                <c:pt idx="8">
                  <c:v>5629.3149999999996</c:v>
                </c:pt>
                <c:pt idx="9">
                  <c:v>4578.5600000000004</c:v>
                </c:pt>
                <c:pt idx="10">
                  <c:v>9773.16</c:v>
                </c:pt>
                <c:pt idx="11">
                  <c:v>12711.32</c:v>
                </c:pt>
                <c:pt idx="12">
                  <c:v>36845</c:v>
                </c:pt>
              </c:numCache>
            </c:numRef>
          </c:val>
          <c:extLst>
            <c:ext xmlns:c16="http://schemas.microsoft.com/office/drawing/2014/chart" uri="{C3380CC4-5D6E-409C-BE32-E72D297353CC}">
              <c16:uniqueId val="{00000005-5AC4-47AE-B64B-FFAC5287E859}"/>
            </c:ext>
          </c:extLst>
        </c:ser>
        <c:ser>
          <c:idx val="9"/>
          <c:order val="6"/>
          <c:tx>
            <c:strRef>
              <c:f>'Generation by financial year'!$DD$6</c:f>
              <c:strCache>
                <c:ptCount val="1"/>
                <c:pt idx="0">
                  <c:v>Vic</c:v>
                </c:pt>
              </c:strCache>
            </c:strRef>
          </c:tx>
          <c:spPr>
            <a:solidFill>
              <a:schemeClr val="accent4">
                <a:lumMod val="60000"/>
              </a:schemeClr>
            </a:solidFill>
            <a:ln w="25400">
              <a:noFill/>
            </a:ln>
            <a:effectLst/>
          </c:spPr>
          <c:cat>
            <c:strRef>
              <c:f>'Generation by financial year'!$C$7:$P$7</c:f>
              <c:strCache>
                <c:ptCount val="14"/>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strCache>
            </c:strRef>
          </c:cat>
          <c:val>
            <c:numRef>
              <c:f>'Generation by financial year'!$DD$173:$DP$173</c:f>
              <c:numCache>
                <c:formatCode>#,##0</c:formatCode>
                <c:ptCount val="13"/>
                <c:pt idx="0">
                  <c:v>583818.8629999978</c:v>
                </c:pt>
                <c:pt idx="1">
                  <c:v>494999.15499999974</c:v>
                </c:pt>
                <c:pt idx="2">
                  <c:v>299986.0400000005</c:v>
                </c:pt>
                <c:pt idx="3">
                  <c:v>281692.21399999951</c:v>
                </c:pt>
                <c:pt idx="4">
                  <c:v>401109.14100000041</c:v>
                </c:pt>
                <c:pt idx="5">
                  <c:v>369366.92199999903</c:v>
                </c:pt>
                <c:pt idx="6">
                  <c:v>352854.29899999831</c:v>
                </c:pt>
                <c:pt idx="7">
                  <c:v>313563.66699999943</c:v>
                </c:pt>
                <c:pt idx="8">
                  <c:v>358930.07499999995</c:v>
                </c:pt>
                <c:pt idx="9">
                  <c:v>353234.30200000212</c:v>
                </c:pt>
                <c:pt idx="10">
                  <c:v>450809.25579844799</c:v>
                </c:pt>
                <c:pt idx="11">
                  <c:v>761715.39600000461</c:v>
                </c:pt>
                <c:pt idx="12">
                  <c:v>734401.41812900337</c:v>
                </c:pt>
              </c:numCache>
            </c:numRef>
          </c:val>
          <c:extLst>
            <c:ext xmlns:c16="http://schemas.microsoft.com/office/drawing/2014/chart" uri="{C3380CC4-5D6E-409C-BE32-E72D297353CC}">
              <c16:uniqueId val="{00000006-5AC4-47AE-B64B-FFAC5287E859}"/>
            </c:ext>
          </c:extLst>
        </c:ser>
        <c:ser>
          <c:idx val="10"/>
          <c:order val="7"/>
          <c:tx>
            <c:strRef>
              <c:f>'Generation by financial year'!$DS$6</c:f>
              <c:strCache>
                <c:ptCount val="1"/>
                <c:pt idx="0">
                  <c:v>WA</c:v>
                </c:pt>
              </c:strCache>
            </c:strRef>
          </c:tx>
          <c:spPr>
            <a:solidFill>
              <a:schemeClr val="accent5">
                <a:lumMod val="60000"/>
              </a:schemeClr>
            </a:solidFill>
            <a:ln w="25400">
              <a:noFill/>
            </a:ln>
            <a:effectLst/>
          </c:spPr>
          <c:cat>
            <c:strRef>
              <c:f>'Generation by financial year'!$C$7:$P$7</c:f>
              <c:strCache>
                <c:ptCount val="14"/>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strCache>
            </c:strRef>
          </c:cat>
          <c:val>
            <c:numRef>
              <c:f>'Generation by financial year'!$DS$173:$EE$173</c:f>
              <c:numCache>
                <c:formatCode>#,##0</c:formatCode>
                <c:ptCount val="13"/>
                <c:pt idx="0">
                  <c:v>12853.998382000002</c:v>
                </c:pt>
                <c:pt idx="1">
                  <c:v>6665.9451800000024</c:v>
                </c:pt>
                <c:pt idx="2">
                  <c:v>7319.7186200000006</c:v>
                </c:pt>
                <c:pt idx="3">
                  <c:v>10227.80371</c:v>
                </c:pt>
                <c:pt idx="4">
                  <c:v>6997.4307099999996</c:v>
                </c:pt>
                <c:pt idx="5">
                  <c:v>5014.2477960000006</c:v>
                </c:pt>
                <c:pt idx="6">
                  <c:v>3786.8782869999995</c:v>
                </c:pt>
                <c:pt idx="7">
                  <c:v>3179.2458259999994</c:v>
                </c:pt>
                <c:pt idx="8">
                  <c:v>13341.052548</c:v>
                </c:pt>
                <c:pt idx="9">
                  <c:v>14228.27764</c:v>
                </c:pt>
                <c:pt idx="10">
                  <c:v>5042.5530239999971</c:v>
                </c:pt>
                <c:pt idx="11">
                  <c:v>10596.960665999999</c:v>
                </c:pt>
                <c:pt idx="12">
                  <c:v>4083.4372300000005</c:v>
                </c:pt>
              </c:numCache>
            </c:numRef>
          </c:val>
          <c:extLst>
            <c:ext xmlns:c16="http://schemas.microsoft.com/office/drawing/2014/chart" uri="{C3380CC4-5D6E-409C-BE32-E72D297353CC}">
              <c16:uniqueId val="{00000007-5AC4-47AE-B64B-FFAC5287E859}"/>
            </c:ext>
          </c:extLst>
        </c:ser>
        <c:dLbls>
          <c:showLegendKey val="0"/>
          <c:showVal val="0"/>
          <c:showCatName val="0"/>
          <c:showSerName val="0"/>
          <c:showPercent val="0"/>
          <c:showBubbleSize val="0"/>
        </c:dLbls>
        <c:axId val="1116250744"/>
        <c:axId val="1116248120"/>
      </c:areaChart>
      <c:catAx>
        <c:axId val="11162507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16248120"/>
        <c:crosses val="autoZero"/>
        <c:auto val="1"/>
        <c:lblAlgn val="ctr"/>
        <c:lblOffset val="100"/>
        <c:noMultiLvlLbl val="0"/>
      </c:catAx>
      <c:valAx>
        <c:axId val="111624812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Thousands of tonnes of waste generated</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16250744"/>
        <c:crosses val="autoZero"/>
        <c:crossBetween val="midCat"/>
        <c:dispUnits>
          <c:builtInUnit val="thousands"/>
        </c:dispUnits>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Asbestos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areaChart>
        <c:grouping val="stacked"/>
        <c:varyColors val="0"/>
        <c:ser>
          <c:idx val="3"/>
          <c:order val="0"/>
          <c:tx>
            <c:strRef>
              <c:f>'Generation by financial year'!$R$6</c:f>
              <c:strCache>
                <c:ptCount val="1"/>
                <c:pt idx="0">
                  <c:v>ACT</c:v>
                </c:pt>
              </c:strCache>
            </c:strRef>
          </c:tx>
          <c:spPr>
            <a:solidFill>
              <a:schemeClr val="accent4"/>
            </a:solidFill>
            <a:ln w="25400">
              <a:noFill/>
            </a:ln>
            <a:effectLst/>
          </c:spPr>
          <c:cat>
            <c:strRef>
              <c:f>'Generation by financial year'!$C$7:$O$7</c:f>
              <c:strCache>
                <c:ptCount val="13"/>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strCache>
            </c:strRef>
          </c:cat>
          <c:val>
            <c:numRef>
              <c:f>'Generation by financial year'!$R$174:$AD$174</c:f>
              <c:numCache>
                <c:formatCode>#,##0</c:formatCode>
                <c:ptCount val="13"/>
                <c:pt idx="0">
                  <c:v>372</c:v>
                </c:pt>
                <c:pt idx="1">
                  <c:v>23.56</c:v>
                </c:pt>
                <c:pt idx="2">
                  <c:v>18661.03</c:v>
                </c:pt>
                <c:pt idx="3">
                  <c:v>170</c:v>
                </c:pt>
                <c:pt idx="4">
                  <c:v>1125.54</c:v>
                </c:pt>
                <c:pt idx="5">
                  <c:v>4756.68</c:v>
                </c:pt>
                <c:pt idx="6">
                  <c:v>5954.079999999999</c:v>
                </c:pt>
                <c:pt idx="7">
                  <c:v>6679.5099999999993</c:v>
                </c:pt>
                <c:pt idx="8">
                  <c:v>5856</c:v>
                </c:pt>
                <c:pt idx="9">
                  <c:v>68405</c:v>
                </c:pt>
                <c:pt idx="10">
                  <c:v>208474</c:v>
                </c:pt>
                <c:pt idx="11">
                  <c:v>94293</c:v>
                </c:pt>
                <c:pt idx="12">
                  <c:v>48176</c:v>
                </c:pt>
              </c:numCache>
            </c:numRef>
          </c:val>
          <c:extLst>
            <c:ext xmlns:c16="http://schemas.microsoft.com/office/drawing/2014/chart" uri="{C3380CC4-5D6E-409C-BE32-E72D297353CC}">
              <c16:uniqueId val="{00000000-7E7C-4031-8C71-54B59B720AF0}"/>
            </c:ext>
          </c:extLst>
        </c:ser>
        <c:ser>
          <c:idx val="4"/>
          <c:order val="1"/>
          <c:tx>
            <c:strRef>
              <c:f>'Generation by financial year'!$AG$6</c:f>
              <c:strCache>
                <c:ptCount val="1"/>
                <c:pt idx="0">
                  <c:v>NSW</c:v>
                </c:pt>
              </c:strCache>
            </c:strRef>
          </c:tx>
          <c:spPr>
            <a:solidFill>
              <a:schemeClr val="accent5"/>
            </a:solidFill>
            <a:ln w="25400">
              <a:noFill/>
            </a:ln>
            <a:effectLst/>
          </c:spPr>
          <c:cat>
            <c:strRef>
              <c:f>'Generation by financial year'!$C$7:$O$7</c:f>
              <c:strCache>
                <c:ptCount val="13"/>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strCache>
            </c:strRef>
          </c:cat>
          <c:val>
            <c:numRef>
              <c:f>'Generation by financial year'!$AG$174:$AS$174</c:f>
              <c:numCache>
                <c:formatCode>#,##0</c:formatCode>
                <c:ptCount val="13"/>
                <c:pt idx="0">
                  <c:v>208186.98795964816</c:v>
                </c:pt>
                <c:pt idx="1">
                  <c:v>211184</c:v>
                </c:pt>
                <c:pt idx="2">
                  <c:v>222299</c:v>
                </c:pt>
                <c:pt idx="3">
                  <c:v>227936</c:v>
                </c:pt>
                <c:pt idx="4">
                  <c:v>194700</c:v>
                </c:pt>
                <c:pt idx="5">
                  <c:v>207300</c:v>
                </c:pt>
                <c:pt idx="6">
                  <c:v>531000</c:v>
                </c:pt>
                <c:pt idx="7">
                  <c:v>420000</c:v>
                </c:pt>
                <c:pt idx="8">
                  <c:v>306465.15619999997</c:v>
                </c:pt>
                <c:pt idx="9">
                  <c:v>508156</c:v>
                </c:pt>
                <c:pt idx="10">
                  <c:v>682444.00971245882</c:v>
                </c:pt>
                <c:pt idx="11">
                  <c:v>1158050.2272319649</c:v>
                </c:pt>
                <c:pt idx="12">
                  <c:v>1318778.7040000001</c:v>
                </c:pt>
              </c:numCache>
            </c:numRef>
          </c:val>
          <c:extLst>
            <c:ext xmlns:c16="http://schemas.microsoft.com/office/drawing/2014/chart" uri="{C3380CC4-5D6E-409C-BE32-E72D297353CC}">
              <c16:uniqueId val="{00000001-7E7C-4031-8C71-54B59B720AF0}"/>
            </c:ext>
          </c:extLst>
        </c:ser>
        <c:ser>
          <c:idx val="5"/>
          <c:order val="2"/>
          <c:tx>
            <c:strRef>
              <c:f>'Generation by financial year'!$AV$6</c:f>
              <c:strCache>
                <c:ptCount val="1"/>
                <c:pt idx="0">
                  <c:v>NT</c:v>
                </c:pt>
              </c:strCache>
            </c:strRef>
          </c:tx>
          <c:spPr>
            <a:solidFill>
              <a:schemeClr val="accent6"/>
            </a:solidFill>
            <a:ln w="25400">
              <a:noFill/>
            </a:ln>
            <a:effectLst/>
          </c:spPr>
          <c:cat>
            <c:strRef>
              <c:f>'Generation by financial year'!$C$7:$O$7</c:f>
              <c:strCache>
                <c:ptCount val="13"/>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strCache>
            </c:strRef>
          </c:cat>
          <c:val>
            <c:numRef>
              <c:f>'Generation by financial year'!$AV$174:$BH$174</c:f>
              <c:numCache>
                <c:formatCode>#,##0</c:formatCode>
                <c:ptCount val="13"/>
                <c:pt idx="0">
                  <c:v>1579.4245382370787</c:v>
                </c:pt>
                <c:pt idx="1">
                  <c:v>1621.2548257530459</c:v>
                </c:pt>
                <c:pt idx="2">
                  <c:v>1665.4726354943832</c:v>
                </c:pt>
                <c:pt idx="3">
                  <c:v>1704.8181036409994</c:v>
                </c:pt>
                <c:pt idx="4">
                  <c:v>1723.6488431990911</c:v>
                </c:pt>
                <c:pt idx="5">
                  <c:v>1758.1006556357916</c:v>
                </c:pt>
                <c:pt idx="6">
                  <c:v>1801.3759476150087</c:v>
                </c:pt>
                <c:pt idx="7">
                  <c:v>1810.11</c:v>
                </c:pt>
                <c:pt idx="8">
                  <c:v>1999.94</c:v>
                </c:pt>
                <c:pt idx="9">
                  <c:v>5982.08</c:v>
                </c:pt>
                <c:pt idx="10">
                  <c:v>5913</c:v>
                </c:pt>
                <c:pt idx="11">
                  <c:v>5225</c:v>
                </c:pt>
                <c:pt idx="12">
                  <c:v>7117.6900000000005</c:v>
                </c:pt>
              </c:numCache>
            </c:numRef>
          </c:val>
          <c:extLst>
            <c:ext xmlns:c16="http://schemas.microsoft.com/office/drawing/2014/chart" uri="{C3380CC4-5D6E-409C-BE32-E72D297353CC}">
              <c16:uniqueId val="{00000002-7E7C-4031-8C71-54B59B720AF0}"/>
            </c:ext>
          </c:extLst>
        </c:ser>
        <c:ser>
          <c:idx val="6"/>
          <c:order val="3"/>
          <c:tx>
            <c:strRef>
              <c:f>'Generation by financial year'!$BK$6</c:f>
              <c:strCache>
                <c:ptCount val="1"/>
                <c:pt idx="0">
                  <c:v>Qld</c:v>
                </c:pt>
              </c:strCache>
            </c:strRef>
          </c:tx>
          <c:spPr>
            <a:solidFill>
              <a:schemeClr val="accent1">
                <a:lumMod val="60000"/>
              </a:schemeClr>
            </a:solidFill>
            <a:ln w="25400">
              <a:noFill/>
            </a:ln>
            <a:effectLst/>
          </c:spPr>
          <c:cat>
            <c:strRef>
              <c:f>'Generation by financial year'!$C$7:$O$7</c:f>
              <c:strCache>
                <c:ptCount val="13"/>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strCache>
            </c:strRef>
          </c:cat>
          <c:val>
            <c:numRef>
              <c:f>'Generation by financial year'!$BK$174:$BW$174</c:f>
              <c:numCache>
                <c:formatCode>#,##0</c:formatCode>
                <c:ptCount val="13"/>
                <c:pt idx="0">
                  <c:v>49846.684000000001</c:v>
                </c:pt>
                <c:pt idx="1">
                  <c:v>44771.517</c:v>
                </c:pt>
                <c:pt idx="2">
                  <c:v>48577.125</c:v>
                </c:pt>
                <c:pt idx="3">
                  <c:v>67597.585999999996</c:v>
                </c:pt>
                <c:pt idx="4">
                  <c:v>87834.013999999996</c:v>
                </c:pt>
                <c:pt idx="5">
                  <c:v>101047.52</c:v>
                </c:pt>
                <c:pt idx="6">
                  <c:v>113345.20699999999</c:v>
                </c:pt>
                <c:pt idx="7">
                  <c:v>120728.49771999917</c:v>
                </c:pt>
                <c:pt idx="8">
                  <c:v>150301.82024999982</c:v>
                </c:pt>
                <c:pt idx="9">
                  <c:v>145101.52556999982</c:v>
                </c:pt>
                <c:pt idx="10">
                  <c:v>152968.72197387955</c:v>
                </c:pt>
                <c:pt idx="11">
                  <c:v>150036.20125506361</c:v>
                </c:pt>
                <c:pt idx="12">
                  <c:v>136667.96377404567</c:v>
                </c:pt>
              </c:numCache>
            </c:numRef>
          </c:val>
          <c:extLst>
            <c:ext xmlns:c16="http://schemas.microsoft.com/office/drawing/2014/chart" uri="{C3380CC4-5D6E-409C-BE32-E72D297353CC}">
              <c16:uniqueId val="{00000003-7E7C-4031-8C71-54B59B720AF0}"/>
            </c:ext>
          </c:extLst>
        </c:ser>
        <c:ser>
          <c:idx val="7"/>
          <c:order val="4"/>
          <c:tx>
            <c:strRef>
              <c:f>'Generation by financial year'!$BZ$6</c:f>
              <c:strCache>
                <c:ptCount val="1"/>
                <c:pt idx="0">
                  <c:v>SA</c:v>
                </c:pt>
              </c:strCache>
            </c:strRef>
          </c:tx>
          <c:spPr>
            <a:solidFill>
              <a:schemeClr val="accent2">
                <a:lumMod val="60000"/>
              </a:schemeClr>
            </a:solidFill>
            <a:ln w="25400">
              <a:noFill/>
            </a:ln>
            <a:effectLst/>
          </c:spPr>
          <c:cat>
            <c:strRef>
              <c:f>'Generation by financial year'!$C$7:$O$7</c:f>
              <c:strCache>
                <c:ptCount val="13"/>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strCache>
            </c:strRef>
          </c:cat>
          <c:val>
            <c:numRef>
              <c:f>'Generation by financial year'!$BZ$174:$CL$174</c:f>
              <c:numCache>
                <c:formatCode>#,##0</c:formatCode>
                <c:ptCount val="13"/>
                <c:pt idx="0">
                  <c:v>11757.099999999999</c:v>
                </c:pt>
                <c:pt idx="1">
                  <c:v>17601.5</c:v>
                </c:pt>
                <c:pt idx="2">
                  <c:v>7797.58</c:v>
                </c:pt>
                <c:pt idx="3">
                  <c:v>5915.73</c:v>
                </c:pt>
                <c:pt idx="4">
                  <c:v>21084.879999999997</c:v>
                </c:pt>
                <c:pt idx="5">
                  <c:v>22828.489999999998</c:v>
                </c:pt>
                <c:pt idx="6">
                  <c:v>20128.580000000002</c:v>
                </c:pt>
                <c:pt idx="7">
                  <c:v>15991.280000000002</c:v>
                </c:pt>
                <c:pt idx="8">
                  <c:v>14517</c:v>
                </c:pt>
                <c:pt idx="9">
                  <c:v>9224</c:v>
                </c:pt>
                <c:pt idx="10">
                  <c:v>11770</c:v>
                </c:pt>
                <c:pt idx="11">
                  <c:v>17302</c:v>
                </c:pt>
                <c:pt idx="12">
                  <c:v>42987.31294999989</c:v>
                </c:pt>
              </c:numCache>
            </c:numRef>
          </c:val>
          <c:extLst>
            <c:ext xmlns:c16="http://schemas.microsoft.com/office/drawing/2014/chart" uri="{C3380CC4-5D6E-409C-BE32-E72D297353CC}">
              <c16:uniqueId val="{00000004-7E7C-4031-8C71-54B59B720AF0}"/>
            </c:ext>
          </c:extLst>
        </c:ser>
        <c:ser>
          <c:idx val="8"/>
          <c:order val="5"/>
          <c:tx>
            <c:strRef>
              <c:f>'Generation by financial year'!$CO$6</c:f>
              <c:strCache>
                <c:ptCount val="1"/>
                <c:pt idx="0">
                  <c:v>Tas</c:v>
                </c:pt>
              </c:strCache>
            </c:strRef>
          </c:tx>
          <c:spPr>
            <a:solidFill>
              <a:schemeClr val="accent3">
                <a:lumMod val="60000"/>
              </a:schemeClr>
            </a:solidFill>
            <a:ln w="25400">
              <a:noFill/>
            </a:ln>
            <a:effectLst/>
          </c:spPr>
          <c:cat>
            <c:strRef>
              <c:f>'Generation by financial year'!$C$7:$O$7</c:f>
              <c:strCache>
                <c:ptCount val="13"/>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strCache>
            </c:strRef>
          </c:cat>
          <c:val>
            <c:numRef>
              <c:f>'Generation by financial year'!$CO$174:$DA$174</c:f>
              <c:numCache>
                <c:formatCode>#,##0</c:formatCode>
                <c:ptCount val="13"/>
                <c:pt idx="0">
                  <c:v>1587.96</c:v>
                </c:pt>
                <c:pt idx="1">
                  <c:v>1009.481</c:v>
                </c:pt>
                <c:pt idx="2">
                  <c:v>2022.6079999999999</c:v>
                </c:pt>
                <c:pt idx="3">
                  <c:v>331.64</c:v>
                </c:pt>
                <c:pt idx="4">
                  <c:v>170.91</c:v>
                </c:pt>
                <c:pt idx="5">
                  <c:v>14916.508244482304</c:v>
                </c:pt>
                <c:pt idx="6">
                  <c:v>14931.287050401026</c:v>
                </c:pt>
                <c:pt idx="7">
                  <c:v>14971.804881223559</c:v>
                </c:pt>
                <c:pt idx="8">
                  <c:v>15015.412561015295</c:v>
                </c:pt>
                <c:pt idx="9">
                  <c:v>15085.283957045232</c:v>
                </c:pt>
                <c:pt idx="10">
                  <c:v>15228</c:v>
                </c:pt>
                <c:pt idx="11">
                  <c:v>5058.79</c:v>
                </c:pt>
                <c:pt idx="12">
                  <c:v>3259.3049999999998</c:v>
                </c:pt>
              </c:numCache>
            </c:numRef>
          </c:val>
          <c:extLst>
            <c:ext xmlns:c16="http://schemas.microsoft.com/office/drawing/2014/chart" uri="{C3380CC4-5D6E-409C-BE32-E72D297353CC}">
              <c16:uniqueId val="{00000005-7E7C-4031-8C71-54B59B720AF0}"/>
            </c:ext>
          </c:extLst>
        </c:ser>
        <c:ser>
          <c:idx val="9"/>
          <c:order val="6"/>
          <c:tx>
            <c:strRef>
              <c:f>'Generation by financial year'!$DD$6</c:f>
              <c:strCache>
                <c:ptCount val="1"/>
                <c:pt idx="0">
                  <c:v>Vic</c:v>
                </c:pt>
              </c:strCache>
            </c:strRef>
          </c:tx>
          <c:spPr>
            <a:solidFill>
              <a:schemeClr val="accent4">
                <a:lumMod val="60000"/>
              </a:schemeClr>
            </a:solidFill>
            <a:ln w="25400">
              <a:noFill/>
            </a:ln>
            <a:effectLst/>
          </c:spPr>
          <c:cat>
            <c:strRef>
              <c:f>'Generation by financial year'!$C$7:$O$7</c:f>
              <c:strCache>
                <c:ptCount val="13"/>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strCache>
            </c:strRef>
          </c:cat>
          <c:val>
            <c:numRef>
              <c:f>'Generation by financial year'!$DD$174:$DP$174</c:f>
              <c:numCache>
                <c:formatCode>#,##0</c:formatCode>
                <c:ptCount val="13"/>
                <c:pt idx="0">
                  <c:v>42099</c:v>
                </c:pt>
                <c:pt idx="1">
                  <c:v>35768</c:v>
                </c:pt>
                <c:pt idx="2">
                  <c:v>32882</c:v>
                </c:pt>
                <c:pt idx="3">
                  <c:v>50543</c:v>
                </c:pt>
                <c:pt idx="4">
                  <c:v>42515</c:v>
                </c:pt>
                <c:pt idx="5">
                  <c:v>61050</c:v>
                </c:pt>
                <c:pt idx="6">
                  <c:v>65656</c:v>
                </c:pt>
                <c:pt idx="7">
                  <c:v>74046</c:v>
                </c:pt>
                <c:pt idx="8">
                  <c:v>80078</c:v>
                </c:pt>
                <c:pt idx="9">
                  <c:v>101636</c:v>
                </c:pt>
                <c:pt idx="10">
                  <c:v>118625.83999999841</c:v>
                </c:pt>
                <c:pt idx="11">
                  <c:v>154520</c:v>
                </c:pt>
                <c:pt idx="12">
                  <c:v>102842.18505999989</c:v>
                </c:pt>
              </c:numCache>
            </c:numRef>
          </c:val>
          <c:extLst>
            <c:ext xmlns:c16="http://schemas.microsoft.com/office/drawing/2014/chart" uri="{C3380CC4-5D6E-409C-BE32-E72D297353CC}">
              <c16:uniqueId val="{00000006-7E7C-4031-8C71-54B59B720AF0}"/>
            </c:ext>
          </c:extLst>
        </c:ser>
        <c:ser>
          <c:idx val="10"/>
          <c:order val="7"/>
          <c:tx>
            <c:strRef>
              <c:f>'Generation by financial year'!$DS$6</c:f>
              <c:strCache>
                <c:ptCount val="1"/>
                <c:pt idx="0">
                  <c:v>WA</c:v>
                </c:pt>
              </c:strCache>
            </c:strRef>
          </c:tx>
          <c:spPr>
            <a:solidFill>
              <a:schemeClr val="accent5">
                <a:lumMod val="60000"/>
              </a:schemeClr>
            </a:solidFill>
            <a:ln w="25400">
              <a:noFill/>
            </a:ln>
            <a:effectLst/>
          </c:spPr>
          <c:cat>
            <c:strRef>
              <c:f>'Generation by financial year'!$C$7:$O$7</c:f>
              <c:strCache>
                <c:ptCount val="13"/>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strCache>
            </c:strRef>
          </c:cat>
          <c:val>
            <c:numRef>
              <c:f>'Generation by financial year'!$DS$174:$EE$174</c:f>
              <c:numCache>
                <c:formatCode>#,##0</c:formatCode>
                <c:ptCount val="13"/>
                <c:pt idx="0">
                  <c:v>225.06</c:v>
                </c:pt>
                <c:pt idx="1">
                  <c:v>5947.04</c:v>
                </c:pt>
                <c:pt idx="2">
                  <c:v>10836.26</c:v>
                </c:pt>
                <c:pt idx="3">
                  <c:v>12286.07</c:v>
                </c:pt>
                <c:pt idx="4">
                  <c:v>19390.46</c:v>
                </c:pt>
                <c:pt idx="5">
                  <c:v>12099.52</c:v>
                </c:pt>
                <c:pt idx="6">
                  <c:v>26044.78</c:v>
                </c:pt>
                <c:pt idx="7">
                  <c:v>29236.55</c:v>
                </c:pt>
                <c:pt idx="8">
                  <c:v>38492.144139930453</c:v>
                </c:pt>
                <c:pt idx="9">
                  <c:v>38724.035843466285</c:v>
                </c:pt>
                <c:pt idx="10">
                  <c:v>39000</c:v>
                </c:pt>
                <c:pt idx="11">
                  <c:v>39328.520821865335</c:v>
                </c:pt>
                <c:pt idx="12">
                  <c:v>39276.14569808395</c:v>
                </c:pt>
              </c:numCache>
            </c:numRef>
          </c:val>
          <c:extLst>
            <c:ext xmlns:c16="http://schemas.microsoft.com/office/drawing/2014/chart" uri="{C3380CC4-5D6E-409C-BE32-E72D297353CC}">
              <c16:uniqueId val="{00000007-7E7C-4031-8C71-54B59B720AF0}"/>
            </c:ext>
          </c:extLst>
        </c:ser>
        <c:dLbls>
          <c:showLegendKey val="0"/>
          <c:showVal val="0"/>
          <c:showCatName val="0"/>
          <c:showSerName val="0"/>
          <c:showPercent val="0"/>
          <c:showBubbleSize val="0"/>
        </c:dLbls>
        <c:axId val="1116250744"/>
        <c:axId val="1116248120"/>
      </c:areaChart>
      <c:catAx>
        <c:axId val="11162507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16248120"/>
        <c:crosses val="autoZero"/>
        <c:auto val="1"/>
        <c:lblAlgn val="ctr"/>
        <c:lblOffset val="100"/>
        <c:noMultiLvlLbl val="0"/>
      </c:catAx>
      <c:valAx>
        <c:axId val="111624812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Thousands of tonnes of waste generated</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16250744"/>
        <c:crosses val="autoZero"/>
        <c:crossBetween val="midCat"/>
        <c:dispUnits>
          <c:builtInUnit val="thousands"/>
        </c:dispUnits>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Other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areaChart>
        <c:grouping val="stacked"/>
        <c:varyColors val="0"/>
        <c:ser>
          <c:idx val="3"/>
          <c:order val="0"/>
          <c:tx>
            <c:strRef>
              <c:f>'Generation by financial year'!$R$6</c:f>
              <c:strCache>
                <c:ptCount val="1"/>
                <c:pt idx="0">
                  <c:v>ACT</c:v>
                </c:pt>
              </c:strCache>
            </c:strRef>
          </c:tx>
          <c:spPr>
            <a:solidFill>
              <a:schemeClr val="accent4"/>
            </a:solidFill>
            <a:ln w="25400">
              <a:noFill/>
            </a:ln>
            <a:effectLst/>
          </c:spPr>
          <c:cat>
            <c:strRef>
              <c:f>'Generation by financial year'!$C$7:$O$7</c:f>
              <c:strCache>
                <c:ptCount val="13"/>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strCache>
            </c:strRef>
          </c:cat>
          <c:val>
            <c:numRef>
              <c:f>'Generation by financial year'!$R$175:$AD$175</c:f>
              <c:numCache>
                <c:formatCode>#,##0</c:formatCode>
                <c:ptCount val="13"/>
                <c:pt idx="0">
                  <c:v>9811.4460459308139</c:v>
                </c:pt>
                <c:pt idx="1">
                  <c:v>9979.4735942747484</c:v>
                </c:pt>
                <c:pt idx="2">
                  <c:v>10180.265789664179</c:v>
                </c:pt>
                <c:pt idx="3">
                  <c:v>10376.215776153967</c:v>
                </c:pt>
                <c:pt idx="4">
                  <c:v>10578.428739424129</c:v>
                </c:pt>
                <c:pt idx="5">
                  <c:v>10780.40974059132</c:v>
                </c:pt>
                <c:pt idx="6">
                  <c:v>11017.851948251107</c:v>
                </c:pt>
                <c:pt idx="7">
                  <c:v>11212.874086328986</c:v>
                </c:pt>
                <c:pt idx="8">
                  <c:v>12961.285351908644</c:v>
                </c:pt>
                <c:pt idx="9">
                  <c:v>11331.538694506336</c:v>
                </c:pt>
                <c:pt idx="10">
                  <c:v>12164.481895429228</c:v>
                </c:pt>
                <c:pt idx="11">
                  <c:v>13924.583211954567</c:v>
                </c:pt>
                <c:pt idx="12">
                  <c:v>12246.808000000005</c:v>
                </c:pt>
              </c:numCache>
            </c:numRef>
          </c:val>
          <c:extLst>
            <c:ext xmlns:c16="http://schemas.microsoft.com/office/drawing/2014/chart" uri="{C3380CC4-5D6E-409C-BE32-E72D297353CC}">
              <c16:uniqueId val="{00000000-351B-489C-941C-159957B2429B}"/>
            </c:ext>
          </c:extLst>
        </c:ser>
        <c:ser>
          <c:idx val="4"/>
          <c:order val="1"/>
          <c:tx>
            <c:strRef>
              <c:f>'Generation by financial year'!$AG$6</c:f>
              <c:strCache>
                <c:ptCount val="1"/>
                <c:pt idx="0">
                  <c:v>NSW</c:v>
                </c:pt>
              </c:strCache>
            </c:strRef>
          </c:tx>
          <c:spPr>
            <a:solidFill>
              <a:schemeClr val="accent5"/>
            </a:solidFill>
            <a:ln w="25400">
              <a:noFill/>
            </a:ln>
            <a:effectLst/>
          </c:spPr>
          <c:cat>
            <c:strRef>
              <c:f>'Generation by financial year'!$C$7:$O$7</c:f>
              <c:strCache>
                <c:ptCount val="13"/>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strCache>
            </c:strRef>
          </c:cat>
          <c:val>
            <c:numRef>
              <c:f>'Generation by financial year'!$AG$175:$AS$175</c:f>
              <c:numCache>
                <c:formatCode>#,##0</c:formatCode>
                <c:ptCount val="13"/>
                <c:pt idx="0">
                  <c:v>458713.64748025476</c:v>
                </c:pt>
                <c:pt idx="1">
                  <c:v>444045.7059664363</c:v>
                </c:pt>
                <c:pt idx="2">
                  <c:v>489767.26915767242</c:v>
                </c:pt>
                <c:pt idx="3">
                  <c:v>581092.83720239578</c:v>
                </c:pt>
                <c:pt idx="4">
                  <c:v>449912.6541858532</c:v>
                </c:pt>
                <c:pt idx="5">
                  <c:v>584517.9488791863</c:v>
                </c:pt>
                <c:pt idx="6">
                  <c:v>670609.49516913446</c:v>
                </c:pt>
                <c:pt idx="7">
                  <c:v>711508.05978033948</c:v>
                </c:pt>
                <c:pt idx="8">
                  <c:v>569921.68121658429</c:v>
                </c:pt>
                <c:pt idx="9">
                  <c:v>668225.02108899085</c:v>
                </c:pt>
                <c:pt idx="10">
                  <c:v>677668.99666524865</c:v>
                </c:pt>
                <c:pt idx="11">
                  <c:v>741335.17610750301</c:v>
                </c:pt>
                <c:pt idx="12">
                  <c:v>706174.57807475748</c:v>
                </c:pt>
              </c:numCache>
            </c:numRef>
          </c:val>
          <c:extLst>
            <c:ext xmlns:c16="http://schemas.microsoft.com/office/drawing/2014/chart" uri="{C3380CC4-5D6E-409C-BE32-E72D297353CC}">
              <c16:uniqueId val="{00000001-351B-489C-941C-159957B2429B}"/>
            </c:ext>
          </c:extLst>
        </c:ser>
        <c:ser>
          <c:idx val="5"/>
          <c:order val="2"/>
          <c:tx>
            <c:strRef>
              <c:f>'Generation by financial year'!$AV$6</c:f>
              <c:strCache>
                <c:ptCount val="1"/>
                <c:pt idx="0">
                  <c:v>NT</c:v>
                </c:pt>
              </c:strCache>
            </c:strRef>
          </c:tx>
          <c:spPr>
            <a:solidFill>
              <a:schemeClr val="accent6"/>
            </a:solidFill>
            <a:ln w="25400">
              <a:noFill/>
            </a:ln>
            <a:effectLst/>
          </c:spPr>
          <c:cat>
            <c:strRef>
              <c:f>'Generation by financial year'!$C$7:$O$7</c:f>
              <c:strCache>
                <c:ptCount val="13"/>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strCache>
            </c:strRef>
          </c:cat>
          <c:val>
            <c:numRef>
              <c:f>'Generation by financial year'!$AV$175:$BH$175</c:f>
              <c:numCache>
                <c:formatCode>#,##0</c:formatCode>
                <c:ptCount val="13"/>
                <c:pt idx="0">
                  <c:v>22721.404541115182</c:v>
                </c:pt>
                <c:pt idx="1">
                  <c:v>23323.169843420983</c:v>
                </c:pt>
                <c:pt idx="2">
                  <c:v>23959.281742870404</c:v>
                </c:pt>
                <c:pt idx="3">
                  <c:v>24525.300743446831</c:v>
                </c:pt>
                <c:pt idx="4">
                  <c:v>24796.19741558878</c:v>
                </c:pt>
                <c:pt idx="5">
                  <c:v>25060.849251886451</c:v>
                </c:pt>
                <c:pt idx="6">
                  <c:v>25779.866730647991</c:v>
                </c:pt>
                <c:pt idx="7">
                  <c:v>26171.030327584282</c:v>
                </c:pt>
                <c:pt idx="8">
                  <c:v>18557.074632439093</c:v>
                </c:pt>
                <c:pt idx="9">
                  <c:v>11953.722055261414</c:v>
                </c:pt>
                <c:pt idx="10">
                  <c:v>15571.931891544031</c:v>
                </c:pt>
                <c:pt idx="11">
                  <c:v>14323.947787165143</c:v>
                </c:pt>
                <c:pt idx="12">
                  <c:v>70536.76433000002</c:v>
                </c:pt>
              </c:numCache>
            </c:numRef>
          </c:val>
          <c:extLst>
            <c:ext xmlns:c16="http://schemas.microsoft.com/office/drawing/2014/chart" uri="{C3380CC4-5D6E-409C-BE32-E72D297353CC}">
              <c16:uniqueId val="{00000002-351B-489C-941C-159957B2429B}"/>
            </c:ext>
          </c:extLst>
        </c:ser>
        <c:ser>
          <c:idx val="6"/>
          <c:order val="3"/>
          <c:tx>
            <c:strRef>
              <c:f>'Generation by financial year'!$BK$6</c:f>
              <c:strCache>
                <c:ptCount val="1"/>
                <c:pt idx="0">
                  <c:v>Qld</c:v>
                </c:pt>
              </c:strCache>
            </c:strRef>
          </c:tx>
          <c:spPr>
            <a:solidFill>
              <a:schemeClr val="accent1">
                <a:lumMod val="60000"/>
              </a:schemeClr>
            </a:solidFill>
            <a:ln w="25400">
              <a:noFill/>
            </a:ln>
            <a:effectLst/>
          </c:spPr>
          <c:cat>
            <c:strRef>
              <c:f>'Generation by financial year'!$C$7:$O$7</c:f>
              <c:strCache>
                <c:ptCount val="13"/>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strCache>
            </c:strRef>
          </c:cat>
          <c:val>
            <c:numRef>
              <c:f>'Generation by financial year'!$BK$175:$BW$175</c:f>
              <c:numCache>
                <c:formatCode>#,##0</c:formatCode>
                <c:ptCount val="13"/>
                <c:pt idx="0">
                  <c:v>737504.63804626872</c:v>
                </c:pt>
                <c:pt idx="1">
                  <c:v>766504.39390065381</c:v>
                </c:pt>
                <c:pt idx="2">
                  <c:v>624902.62721203966</c:v>
                </c:pt>
                <c:pt idx="3">
                  <c:v>728652.675536733</c:v>
                </c:pt>
                <c:pt idx="4">
                  <c:v>874615.79710280523</c:v>
                </c:pt>
                <c:pt idx="5">
                  <c:v>843114.24004474934</c:v>
                </c:pt>
                <c:pt idx="6">
                  <c:v>1152029.5313428738</c:v>
                </c:pt>
                <c:pt idx="7">
                  <c:v>1222661.7224194312</c:v>
                </c:pt>
                <c:pt idx="8">
                  <c:v>1158184.4919768728</c:v>
                </c:pt>
                <c:pt idx="9">
                  <c:v>768227.07175195357</c:v>
                </c:pt>
                <c:pt idx="10">
                  <c:v>839808.56492020586</c:v>
                </c:pt>
                <c:pt idx="11">
                  <c:v>919630.92468529008</c:v>
                </c:pt>
                <c:pt idx="12">
                  <c:v>971795.72527083056</c:v>
                </c:pt>
              </c:numCache>
            </c:numRef>
          </c:val>
          <c:extLst>
            <c:ext xmlns:c16="http://schemas.microsoft.com/office/drawing/2014/chart" uri="{C3380CC4-5D6E-409C-BE32-E72D297353CC}">
              <c16:uniqueId val="{00000003-351B-489C-941C-159957B2429B}"/>
            </c:ext>
          </c:extLst>
        </c:ser>
        <c:ser>
          <c:idx val="7"/>
          <c:order val="4"/>
          <c:tx>
            <c:strRef>
              <c:f>'Generation by financial year'!$BZ$6</c:f>
              <c:strCache>
                <c:ptCount val="1"/>
                <c:pt idx="0">
                  <c:v>SA</c:v>
                </c:pt>
              </c:strCache>
            </c:strRef>
          </c:tx>
          <c:spPr>
            <a:solidFill>
              <a:schemeClr val="accent2">
                <a:lumMod val="60000"/>
              </a:schemeClr>
            </a:solidFill>
            <a:ln w="25400">
              <a:noFill/>
            </a:ln>
            <a:effectLst/>
          </c:spPr>
          <c:cat>
            <c:strRef>
              <c:f>'Generation by financial year'!$C$7:$O$7</c:f>
              <c:strCache>
                <c:ptCount val="13"/>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strCache>
            </c:strRef>
          </c:cat>
          <c:val>
            <c:numRef>
              <c:f>'Generation by financial year'!$BZ$175:$CL$175</c:f>
              <c:numCache>
                <c:formatCode>#,##0</c:formatCode>
                <c:ptCount val="13"/>
                <c:pt idx="0">
                  <c:v>144116.01325831562</c:v>
                </c:pt>
                <c:pt idx="1">
                  <c:v>144281.50295965915</c:v>
                </c:pt>
                <c:pt idx="2">
                  <c:v>141179.32450899092</c:v>
                </c:pt>
                <c:pt idx="3">
                  <c:v>169993.80649283994</c:v>
                </c:pt>
                <c:pt idx="4">
                  <c:v>247979.37263389686</c:v>
                </c:pt>
                <c:pt idx="5">
                  <c:v>415837.75653145899</c:v>
                </c:pt>
                <c:pt idx="6">
                  <c:v>268406.92328476656</c:v>
                </c:pt>
                <c:pt idx="7">
                  <c:v>152673.69999902989</c:v>
                </c:pt>
                <c:pt idx="8">
                  <c:v>254175.50945243594</c:v>
                </c:pt>
                <c:pt idx="9">
                  <c:v>190215.26819694336</c:v>
                </c:pt>
                <c:pt idx="10">
                  <c:v>221250.91857726761</c:v>
                </c:pt>
                <c:pt idx="11">
                  <c:v>203689.65111304476</c:v>
                </c:pt>
                <c:pt idx="12">
                  <c:v>183215.34856431332</c:v>
                </c:pt>
              </c:numCache>
            </c:numRef>
          </c:val>
          <c:extLst>
            <c:ext xmlns:c16="http://schemas.microsoft.com/office/drawing/2014/chart" uri="{C3380CC4-5D6E-409C-BE32-E72D297353CC}">
              <c16:uniqueId val="{00000004-351B-489C-941C-159957B2429B}"/>
            </c:ext>
          </c:extLst>
        </c:ser>
        <c:ser>
          <c:idx val="8"/>
          <c:order val="5"/>
          <c:tx>
            <c:strRef>
              <c:f>'Generation by financial year'!$CO$6</c:f>
              <c:strCache>
                <c:ptCount val="1"/>
                <c:pt idx="0">
                  <c:v>Tas</c:v>
                </c:pt>
              </c:strCache>
            </c:strRef>
          </c:tx>
          <c:spPr>
            <a:solidFill>
              <a:schemeClr val="accent3">
                <a:lumMod val="60000"/>
              </a:schemeClr>
            </a:solidFill>
            <a:ln w="25400">
              <a:noFill/>
            </a:ln>
            <a:effectLst/>
          </c:spPr>
          <c:cat>
            <c:strRef>
              <c:f>'Generation by financial year'!$C$7:$O$7</c:f>
              <c:strCache>
                <c:ptCount val="13"/>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strCache>
            </c:strRef>
          </c:cat>
          <c:val>
            <c:numRef>
              <c:f>'Generation by financial year'!$CO$175:$DA$175</c:f>
              <c:numCache>
                <c:formatCode>#,##0</c:formatCode>
                <c:ptCount val="13"/>
                <c:pt idx="0">
                  <c:v>261363.2630921847</c:v>
                </c:pt>
                <c:pt idx="1">
                  <c:v>263649.08607212582</c:v>
                </c:pt>
                <c:pt idx="2">
                  <c:v>266761.17439919786</c:v>
                </c:pt>
                <c:pt idx="3">
                  <c:v>269075.24224920495</c:v>
                </c:pt>
                <c:pt idx="4">
                  <c:v>271084.16927765217</c:v>
                </c:pt>
                <c:pt idx="5">
                  <c:v>271930.63417149527</c:v>
                </c:pt>
                <c:pt idx="6">
                  <c:v>271704.52227789973</c:v>
                </c:pt>
                <c:pt idx="7">
                  <c:v>272267.66053588444</c:v>
                </c:pt>
                <c:pt idx="8">
                  <c:v>294767.09494952613</c:v>
                </c:pt>
                <c:pt idx="9">
                  <c:v>377072.48204125901</c:v>
                </c:pt>
                <c:pt idx="10">
                  <c:v>150478.13613041883</c:v>
                </c:pt>
                <c:pt idx="11">
                  <c:v>236968.8709642071</c:v>
                </c:pt>
                <c:pt idx="12">
                  <c:v>402970.59225771966</c:v>
                </c:pt>
              </c:numCache>
            </c:numRef>
          </c:val>
          <c:extLst>
            <c:ext xmlns:c16="http://schemas.microsoft.com/office/drawing/2014/chart" uri="{C3380CC4-5D6E-409C-BE32-E72D297353CC}">
              <c16:uniqueId val="{00000005-351B-489C-941C-159957B2429B}"/>
            </c:ext>
          </c:extLst>
        </c:ser>
        <c:ser>
          <c:idx val="9"/>
          <c:order val="6"/>
          <c:tx>
            <c:strRef>
              <c:f>'Generation by financial year'!$DD$6</c:f>
              <c:strCache>
                <c:ptCount val="1"/>
                <c:pt idx="0">
                  <c:v>Vic</c:v>
                </c:pt>
              </c:strCache>
            </c:strRef>
          </c:tx>
          <c:spPr>
            <a:solidFill>
              <a:schemeClr val="accent4">
                <a:lumMod val="60000"/>
              </a:schemeClr>
            </a:solidFill>
            <a:ln w="25400">
              <a:noFill/>
            </a:ln>
            <a:effectLst/>
          </c:spPr>
          <c:cat>
            <c:strRef>
              <c:f>'Generation by financial year'!$C$7:$O$7</c:f>
              <c:strCache>
                <c:ptCount val="13"/>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strCache>
            </c:strRef>
          </c:cat>
          <c:val>
            <c:numRef>
              <c:f>'Generation by financial year'!$DD$175:$DP$175</c:f>
              <c:numCache>
                <c:formatCode>#,##0</c:formatCode>
                <c:ptCount val="13"/>
                <c:pt idx="0">
                  <c:v>640982.43381950771</c:v>
                </c:pt>
                <c:pt idx="1">
                  <c:v>640320.58337548003</c:v>
                </c:pt>
                <c:pt idx="2">
                  <c:v>632562.19913437497</c:v>
                </c:pt>
                <c:pt idx="3">
                  <c:v>627617.15241431305</c:v>
                </c:pt>
                <c:pt idx="4">
                  <c:v>619326.99243257765</c:v>
                </c:pt>
                <c:pt idx="5">
                  <c:v>604769.49559402373</c:v>
                </c:pt>
                <c:pt idx="6">
                  <c:v>699795.63444731175</c:v>
                </c:pt>
                <c:pt idx="7">
                  <c:v>552308.34599492257</c:v>
                </c:pt>
                <c:pt idx="8">
                  <c:v>512550.67632078752</c:v>
                </c:pt>
                <c:pt idx="9">
                  <c:v>555908.78315182077</c:v>
                </c:pt>
                <c:pt idx="10">
                  <c:v>664506.01941525412</c:v>
                </c:pt>
                <c:pt idx="11">
                  <c:v>584090.94982319046</c:v>
                </c:pt>
                <c:pt idx="12">
                  <c:v>592415.96016292495</c:v>
                </c:pt>
              </c:numCache>
            </c:numRef>
          </c:val>
          <c:extLst>
            <c:ext xmlns:c16="http://schemas.microsoft.com/office/drawing/2014/chart" uri="{C3380CC4-5D6E-409C-BE32-E72D297353CC}">
              <c16:uniqueId val="{00000006-351B-489C-941C-159957B2429B}"/>
            </c:ext>
          </c:extLst>
        </c:ser>
        <c:ser>
          <c:idx val="10"/>
          <c:order val="7"/>
          <c:tx>
            <c:strRef>
              <c:f>'Generation by financial year'!$DS$6</c:f>
              <c:strCache>
                <c:ptCount val="1"/>
                <c:pt idx="0">
                  <c:v>WA</c:v>
                </c:pt>
              </c:strCache>
            </c:strRef>
          </c:tx>
          <c:spPr>
            <a:solidFill>
              <a:schemeClr val="accent5">
                <a:lumMod val="60000"/>
              </a:schemeClr>
            </a:solidFill>
            <a:ln w="25400">
              <a:noFill/>
            </a:ln>
            <a:effectLst/>
          </c:spPr>
          <c:cat>
            <c:strRef>
              <c:f>'Generation by financial year'!$C$7:$O$7</c:f>
              <c:strCache>
                <c:ptCount val="13"/>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strCache>
            </c:strRef>
          </c:cat>
          <c:val>
            <c:numRef>
              <c:f>'Generation by financial year'!$DS$175:$EE$175</c:f>
              <c:numCache>
                <c:formatCode>#,##0</c:formatCode>
                <c:ptCount val="13"/>
                <c:pt idx="0">
                  <c:v>425275.86106784269</c:v>
                </c:pt>
                <c:pt idx="1">
                  <c:v>422766.32529633061</c:v>
                </c:pt>
                <c:pt idx="2">
                  <c:v>423754.76532373141</c:v>
                </c:pt>
                <c:pt idx="3">
                  <c:v>440224.61863965413</c:v>
                </c:pt>
                <c:pt idx="4">
                  <c:v>572491.77887064987</c:v>
                </c:pt>
                <c:pt idx="5">
                  <c:v>549278.67669033876</c:v>
                </c:pt>
                <c:pt idx="6">
                  <c:v>590165.20558230847</c:v>
                </c:pt>
                <c:pt idx="7">
                  <c:v>613370.78954435291</c:v>
                </c:pt>
                <c:pt idx="8">
                  <c:v>528440.71325924643</c:v>
                </c:pt>
                <c:pt idx="9">
                  <c:v>602296.32698185043</c:v>
                </c:pt>
                <c:pt idx="10">
                  <c:v>571879.80688771536</c:v>
                </c:pt>
                <c:pt idx="11">
                  <c:v>737007.47647910472</c:v>
                </c:pt>
                <c:pt idx="12">
                  <c:v>716965.47232196049</c:v>
                </c:pt>
              </c:numCache>
            </c:numRef>
          </c:val>
          <c:extLst>
            <c:ext xmlns:c16="http://schemas.microsoft.com/office/drawing/2014/chart" uri="{C3380CC4-5D6E-409C-BE32-E72D297353CC}">
              <c16:uniqueId val="{00000007-351B-489C-941C-159957B2429B}"/>
            </c:ext>
          </c:extLst>
        </c:ser>
        <c:dLbls>
          <c:showLegendKey val="0"/>
          <c:showVal val="0"/>
          <c:showCatName val="0"/>
          <c:showSerName val="0"/>
          <c:showPercent val="0"/>
          <c:showBubbleSize val="0"/>
        </c:dLbls>
        <c:axId val="1116250744"/>
        <c:axId val="1116248120"/>
      </c:areaChart>
      <c:catAx>
        <c:axId val="11162507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16248120"/>
        <c:crosses val="autoZero"/>
        <c:auto val="1"/>
        <c:lblAlgn val="ctr"/>
        <c:lblOffset val="100"/>
        <c:noMultiLvlLbl val="0"/>
      </c:catAx>
      <c:valAx>
        <c:axId val="111624812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Thousands of tonnes of waste generated</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16250744"/>
        <c:crosses val="autoZero"/>
        <c:crossBetween val="midCat"/>
        <c:dispUnits>
          <c:builtInUnit val="thousands"/>
        </c:dispUnits>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459838232449797"/>
          <c:y val="0.12483980761811397"/>
          <c:w val="0.85519846117012732"/>
          <c:h val="0.78189287190238665"/>
        </c:manualLayout>
      </c:layout>
      <c:lineChart>
        <c:grouping val="standard"/>
        <c:varyColors val="0"/>
        <c:ser>
          <c:idx val="3"/>
          <c:order val="0"/>
          <c:tx>
            <c:strRef>
              <c:f>'Generation by financial year'!$C$6</c:f>
              <c:strCache>
                <c:ptCount val="1"/>
                <c:pt idx="0">
                  <c:v>NATIONAL TOTAL</c:v>
                </c:pt>
              </c:strCache>
            </c:strRef>
          </c:tx>
          <c:spPr>
            <a:ln w="19050" cap="rnd">
              <a:solidFill>
                <a:schemeClr val="tx1"/>
              </a:solidFill>
              <a:prstDash val="dash"/>
              <a:round/>
            </a:ln>
            <a:effectLst/>
          </c:spPr>
          <c:marker>
            <c:symbol val="none"/>
          </c:marker>
          <c:cat>
            <c:strRef>
              <c:f>'Generation by financial year'!$C$7:$P$7</c:f>
              <c:strCache>
                <c:ptCount val="14"/>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strCache>
            </c:strRef>
          </c:cat>
          <c:val>
            <c:numRef>
              <c:f>'Generation by financial year'!$C$9:$P$9</c:f>
              <c:numCache>
                <c:formatCode>#,##0</c:formatCode>
                <c:ptCount val="14"/>
                <c:pt idx="0">
                  <c:v>4803508.52162233</c:v>
                </c:pt>
                <c:pt idx="1">
                  <c:v>5704819.9175767368</c:v>
                </c:pt>
                <c:pt idx="2">
                  <c:v>4501515.176283027</c:v>
                </c:pt>
                <c:pt idx="3">
                  <c:v>4599301.1930380743</c:v>
                </c:pt>
                <c:pt idx="4">
                  <c:v>4972617.485334089</c:v>
                </c:pt>
                <c:pt idx="5">
                  <c:v>5271997.8662594343</c:v>
                </c:pt>
                <c:pt idx="6">
                  <c:v>5917158.186844823</c:v>
                </c:pt>
                <c:pt idx="7">
                  <c:v>5984559.4814477656</c:v>
                </c:pt>
                <c:pt idx="8">
                  <c:v>5431519.7996024117</c:v>
                </c:pt>
                <c:pt idx="9">
                  <c:v>5801334.4659092613</c:v>
                </c:pt>
                <c:pt idx="10">
                  <c:v>6489668.7960791504</c:v>
                </c:pt>
                <c:pt idx="11">
                  <c:v>7917000.6622959133</c:v>
                </c:pt>
                <c:pt idx="12">
                  <c:v>8005186.6657536402</c:v>
                </c:pt>
                <c:pt idx="13">
                  <c:v>7376177.3672139822</c:v>
                </c:pt>
              </c:numCache>
            </c:numRef>
          </c:val>
          <c:smooth val="0"/>
          <c:extLst>
            <c:ext xmlns:c16="http://schemas.microsoft.com/office/drawing/2014/chart" uri="{C3380CC4-5D6E-409C-BE32-E72D297353CC}">
              <c16:uniqueId val="{00000000-76C4-6D4C-B413-56F1D4ED064D}"/>
            </c:ext>
          </c:extLst>
        </c:ser>
        <c:ser>
          <c:idx val="4"/>
          <c:order val="1"/>
          <c:tx>
            <c:v>NSW</c:v>
          </c:tx>
          <c:spPr>
            <a:ln w="19050" cap="rnd">
              <a:solidFill>
                <a:srgbClr val="00B0F0"/>
              </a:solidFill>
              <a:round/>
            </a:ln>
            <a:effectLst/>
          </c:spPr>
          <c:marker>
            <c:symbol val="none"/>
          </c:marker>
          <c:cat>
            <c:strRef>
              <c:f>'Generation by financial year'!$C$7:$P$7</c:f>
              <c:strCache>
                <c:ptCount val="14"/>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strCache>
            </c:strRef>
          </c:cat>
          <c:val>
            <c:numRef>
              <c:f>'Generation by financial year'!$AG$9:$AT$9</c:f>
              <c:numCache>
                <c:formatCode>#,##0</c:formatCode>
                <c:ptCount val="14"/>
                <c:pt idx="0">
                  <c:v>1122246.4741144949</c:v>
                </c:pt>
                <c:pt idx="1">
                  <c:v>1117130.5987027949</c:v>
                </c:pt>
                <c:pt idx="2">
                  <c:v>1181880.1693614197</c:v>
                </c:pt>
                <c:pt idx="3">
                  <c:v>1285534.0028234494</c:v>
                </c:pt>
                <c:pt idx="4">
                  <c:v>1126377.5240072478</c:v>
                </c:pt>
                <c:pt idx="5">
                  <c:v>1279097.2985250519</c:v>
                </c:pt>
                <c:pt idx="6">
                  <c:v>1695348.2825311292</c:v>
                </c:pt>
                <c:pt idx="7">
                  <c:v>1686808.0597803395</c:v>
                </c:pt>
                <c:pt idx="8">
                  <c:v>1330016.5044165843</c:v>
                </c:pt>
                <c:pt idx="9">
                  <c:v>1789623.0210889908</c:v>
                </c:pt>
                <c:pt idx="10">
                  <c:v>1712896.4888256865</c:v>
                </c:pt>
                <c:pt idx="11">
                  <c:v>2596781.3950194679</c:v>
                </c:pt>
                <c:pt idx="12">
                  <c:v>2847804.3540747575</c:v>
                </c:pt>
                <c:pt idx="13">
                  <c:v>2349288.7721282328</c:v>
                </c:pt>
              </c:numCache>
            </c:numRef>
          </c:val>
          <c:smooth val="0"/>
          <c:extLst>
            <c:ext xmlns:c16="http://schemas.microsoft.com/office/drawing/2014/chart" uri="{C3380CC4-5D6E-409C-BE32-E72D297353CC}">
              <c16:uniqueId val="{00000001-76C4-6D4C-B413-56F1D4ED064D}"/>
            </c:ext>
          </c:extLst>
        </c:ser>
        <c:ser>
          <c:idx val="5"/>
          <c:order val="2"/>
          <c:tx>
            <c:strRef>
              <c:f>'Generation by financial year'!$AV$6</c:f>
              <c:strCache>
                <c:ptCount val="1"/>
                <c:pt idx="0">
                  <c:v>NT</c:v>
                </c:pt>
              </c:strCache>
            </c:strRef>
          </c:tx>
          <c:spPr>
            <a:ln w="19050" cap="rnd">
              <a:solidFill>
                <a:schemeClr val="accent6"/>
              </a:solidFill>
              <a:round/>
            </a:ln>
            <a:effectLst/>
          </c:spPr>
          <c:marker>
            <c:symbol val="none"/>
          </c:marker>
          <c:cat>
            <c:strRef>
              <c:f>'Generation by financial year'!$C$7:$P$7</c:f>
              <c:strCache>
                <c:ptCount val="14"/>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strCache>
            </c:strRef>
          </c:cat>
          <c:val>
            <c:numRef>
              <c:f>'Generation by financial year'!$AV$9:$BI$9</c:f>
              <c:numCache>
                <c:formatCode>#,##0</c:formatCode>
                <c:ptCount val="14"/>
                <c:pt idx="0">
                  <c:v>30563.003293033427</c:v>
                </c:pt>
                <c:pt idx="1">
                  <c:v>31372.449508505055</c:v>
                </c:pt>
                <c:pt idx="2">
                  <c:v>32228.096000007383</c:v>
                </c:pt>
                <c:pt idx="3">
                  <c:v>32989.459169578753</c:v>
                </c:pt>
                <c:pt idx="4">
                  <c:v>33353.847553569911</c:v>
                </c:pt>
                <c:pt idx="5">
                  <c:v>33725.891055202359</c:v>
                </c:pt>
                <c:pt idx="6">
                  <c:v>34686.349951920885</c:v>
                </c:pt>
                <c:pt idx="7">
                  <c:v>35194.054959085421</c:v>
                </c:pt>
                <c:pt idx="8">
                  <c:v>32621.8182222092</c:v>
                </c:pt>
                <c:pt idx="9">
                  <c:v>24004.615151421982</c:v>
                </c:pt>
                <c:pt idx="10">
                  <c:v>30131.101500845951</c:v>
                </c:pt>
                <c:pt idx="11">
                  <c:v>28235.377716719133</c:v>
                </c:pt>
                <c:pt idx="12">
                  <c:v>78277.144330000025</c:v>
                </c:pt>
                <c:pt idx="13">
                  <c:v>54660.278717512396</c:v>
                </c:pt>
              </c:numCache>
            </c:numRef>
          </c:val>
          <c:smooth val="0"/>
          <c:extLst>
            <c:ext xmlns:c16="http://schemas.microsoft.com/office/drawing/2014/chart" uri="{C3380CC4-5D6E-409C-BE32-E72D297353CC}">
              <c16:uniqueId val="{00000002-76C4-6D4C-B413-56F1D4ED064D}"/>
            </c:ext>
          </c:extLst>
        </c:ser>
        <c:ser>
          <c:idx val="6"/>
          <c:order val="3"/>
          <c:tx>
            <c:v>Qld</c:v>
          </c:tx>
          <c:spPr>
            <a:ln w="19050" cap="rnd">
              <a:solidFill>
                <a:srgbClr val="963634"/>
              </a:solidFill>
              <a:round/>
            </a:ln>
            <a:effectLst/>
          </c:spPr>
          <c:marker>
            <c:symbol val="none"/>
          </c:marker>
          <c:cat>
            <c:strRef>
              <c:f>'Generation by financial year'!$C$7:$P$7</c:f>
              <c:strCache>
                <c:ptCount val="14"/>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strCache>
            </c:strRef>
          </c:cat>
          <c:val>
            <c:numRef>
              <c:f>'Generation by financial year'!$BK$9:$BX$9</c:f>
              <c:numCache>
                <c:formatCode>#,##0</c:formatCode>
                <c:ptCount val="14"/>
                <c:pt idx="0">
                  <c:v>1480955.5547729353</c:v>
                </c:pt>
                <c:pt idx="1">
                  <c:v>2319275.9109006538</c:v>
                </c:pt>
                <c:pt idx="2">
                  <c:v>1386208.7522120397</c:v>
                </c:pt>
                <c:pt idx="3">
                  <c:v>1340053.261536733</c:v>
                </c:pt>
                <c:pt idx="4">
                  <c:v>1390525.8111028052</c:v>
                </c:pt>
                <c:pt idx="5">
                  <c:v>1182725.7600447494</c:v>
                </c:pt>
                <c:pt idx="6">
                  <c:v>1592959.7383428738</c:v>
                </c:pt>
                <c:pt idx="7">
                  <c:v>2051769.2201394304</c:v>
                </c:pt>
                <c:pt idx="8">
                  <c:v>1727225.2252268726</c:v>
                </c:pt>
                <c:pt idx="9">
                  <c:v>1486922.5973219534</c:v>
                </c:pt>
                <c:pt idx="10">
                  <c:v>2040034.2868940854</c:v>
                </c:pt>
                <c:pt idx="11">
                  <c:v>2058448.4176603535</c:v>
                </c:pt>
                <c:pt idx="12">
                  <c:v>1936207.2770448762</c:v>
                </c:pt>
                <c:pt idx="13">
                  <c:v>1461416.1585319443</c:v>
                </c:pt>
              </c:numCache>
            </c:numRef>
          </c:val>
          <c:smooth val="0"/>
          <c:extLst>
            <c:ext xmlns:c16="http://schemas.microsoft.com/office/drawing/2014/chart" uri="{C3380CC4-5D6E-409C-BE32-E72D297353CC}">
              <c16:uniqueId val="{00000003-76C4-6D4C-B413-56F1D4ED064D}"/>
            </c:ext>
          </c:extLst>
        </c:ser>
        <c:ser>
          <c:idx val="7"/>
          <c:order val="4"/>
          <c:tx>
            <c:v>SA</c:v>
          </c:tx>
          <c:spPr>
            <a:ln w="19050" cap="rnd">
              <a:solidFill>
                <a:srgbClr val="FF0000"/>
              </a:solidFill>
              <a:round/>
            </a:ln>
            <a:effectLst/>
          </c:spPr>
          <c:marker>
            <c:symbol val="none"/>
          </c:marker>
          <c:cat>
            <c:strRef>
              <c:f>'Generation by financial year'!$C$7:$P$7</c:f>
              <c:strCache>
                <c:ptCount val="14"/>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strCache>
            </c:strRef>
          </c:cat>
          <c:val>
            <c:numRef>
              <c:f>'Generation by financial year'!$BZ$9:$CM$9</c:f>
              <c:numCache>
                <c:formatCode>#,##0</c:formatCode>
                <c:ptCount val="14"/>
                <c:pt idx="0">
                  <c:v>185726.84325831564</c:v>
                </c:pt>
                <c:pt idx="1">
                  <c:v>350233.78295965912</c:v>
                </c:pt>
                <c:pt idx="2">
                  <c:v>190483.76450899092</c:v>
                </c:pt>
                <c:pt idx="3">
                  <c:v>232375.94649283995</c:v>
                </c:pt>
                <c:pt idx="4">
                  <c:v>471719.66263389686</c:v>
                </c:pt>
                <c:pt idx="5">
                  <c:v>866612.206531459</c:v>
                </c:pt>
                <c:pt idx="6">
                  <c:v>546370.89328476659</c:v>
                </c:pt>
                <c:pt idx="7">
                  <c:v>314051.83999902988</c:v>
                </c:pt>
                <c:pt idx="8">
                  <c:v>474995.5626063323</c:v>
                </c:pt>
                <c:pt idx="9">
                  <c:v>358274.77203694347</c:v>
                </c:pt>
                <c:pt idx="10">
                  <c:v>460603.10370726732</c:v>
                </c:pt>
                <c:pt idx="11">
                  <c:v>582532.12593304436</c:v>
                </c:pt>
                <c:pt idx="12">
                  <c:v>449400.56644431321</c:v>
                </c:pt>
                <c:pt idx="13">
                  <c:v>410115.99423888052</c:v>
                </c:pt>
              </c:numCache>
            </c:numRef>
          </c:val>
          <c:smooth val="0"/>
          <c:extLst>
            <c:ext xmlns:c16="http://schemas.microsoft.com/office/drawing/2014/chart" uri="{C3380CC4-5D6E-409C-BE32-E72D297353CC}">
              <c16:uniqueId val="{00000004-76C4-6D4C-B413-56F1D4ED064D}"/>
            </c:ext>
          </c:extLst>
        </c:ser>
        <c:ser>
          <c:idx val="8"/>
          <c:order val="5"/>
          <c:tx>
            <c:v>Tas</c:v>
          </c:tx>
          <c:spPr>
            <a:ln w="19050" cap="rnd">
              <a:solidFill>
                <a:srgbClr val="00B050"/>
              </a:solidFill>
              <a:round/>
            </a:ln>
            <a:effectLst/>
          </c:spPr>
          <c:marker>
            <c:symbol val="none"/>
          </c:marker>
          <c:cat>
            <c:strRef>
              <c:f>'Generation by financial year'!$C$7:$P$7</c:f>
              <c:strCache>
                <c:ptCount val="14"/>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strCache>
            </c:strRef>
          </c:cat>
          <c:val>
            <c:numRef>
              <c:f>'Generation by financial year'!$CO$9:$DB$9</c:f>
              <c:numCache>
                <c:formatCode>#,##0</c:formatCode>
                <c:ptCount val="14"/>
                <c:pt idx="0">
                  <c:v>268330.99646453117</c:v>
                </c:pt>
                <c:pt idx="1">
                  <c:v>270085.87583150237</c:v>
                </c:pt>
                <c:pt idx="2">
                  <c:v>274275.84348407987</c:v>
                </c:pt>
                <c:pt idx="3">
                  <c:v>274950.24390028778</c:v>
                </c:pt>
                <c:pt idx="4">
                  <c:v>276839.57332211721</c:v>
                </c:pt>
                <c:pt idx="5">
                  <c:v>292449.37877275574</c:v>
                </c:pt>
                <c:pt idx="6">
                  <c:v>292240.83673359209</c:v>
                </c:pt>
                <c:pt idx="7">
                  <c:v>292857.05801335268</c:v>
                </c:pt>
                <c:pt idx="8">
                  <c:v>315411.82251054142</c:v>
                </c:pt>
                <c:pt idx="9">
                  <c:v>396736.32599830424</c:v>
                </c:pt>
                <c:pt idx="10">
                  <c:v>175479.29613041884</c:v>
                </c:pt>
                <c:pt idx="11">
                  <c:v>254738.98096420712</c:v>
                </c:pt>
                <c:pt idx="12">
                  <c:v>443074.89725771965</c:v>
                </c:pt>
                <c:pt idx="13">
                  <c:v>403063.62802487565</c:v>
                </c:pt>
              </c:numCache>
            </c:numRef>
          </c:val>
          <c:smooth val="0"/>
          <c:extLst>
            <c:ext xmlns:c16="http://schemas.microsoft.com/office/drawing/2014/chart" uri="{C3380CC4-5D6E-409C-BE32-E72D297353CC}">
              <c16:uniqueId val="{00000005-76C4-6D4C-B413-56F1D4ED064D}"/>
            </c:ext>
          </c:extLst>
        </c:ser>
        <c:ser>
          <c:idx val="9"/>
          <c:order val="6"/>
          <c:tx>
            <c:v>Vic</c:v>
          </c:tx>
          <c:spPr>
            <a:ln w="19050" cap="rnd">
              <a:solidFill>
                <a:srgbClr val="002060"/>
              </a:solidFill>
              <a:round/>
            </a:ln>
            <a:effectLst/>
          </c:spPr>
          <c:marker>
            <c:symbol val="none"/>
          </c:marker>
          <c:cat>
            <c:strRef>
              <c:f>'Generation by financial year'!$C$7:$P$7</c:f>
              <c:strCache>
                <c:ptCount val="14"/>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strCache>
            </c:strRef>
          </c:cat>
          <c:val>
            <c:numRef>
              <c:f>'Generation by financial year'!$DD$9:$DQ$9</c:f>
              <c:numCache>
                <c:formatCode>#,##0</c:formatCode>
                <c:ptCount val="14"/>
                <c:pt idx="0">
                  <c:v>1266900.2968195055</c:v>
                </c:pt>
                <c:pt idx="1">
                  <c:v>1171087.7383754798</c:v>
                </c:pt>
                <c:pt idx="2">
                  <c:v>965430.23913437547</c:v>
                </c:pt>
                <c:pt idx="3">
                  <c:v>959852.36641431251</c:v>
                </c:pt>
                <c:pt idx="4">
                  <c:v>1062951.1334325781</c:v>
                </c:pt>
                <c:pt idx="5">
                  <c:v>1035186.4175940227</c:v>
                </c:pt>
                <c:pt idx="6">
                  <c:v>1118305.93344731</c:v>
                </c:pt>
                <c:pt idx="7">
                  <c:v>939918.012994922</c:v>
                </c:pt>
                <c:pt idx="8">
                  <c:v>951558.75132078747</c:v>
                </c:pt>
                <c:pt idx="9">
                  <c:v>1010779.0851518229</c:v>
                </c:pt>
                <c:pt idx="10">
                  <c:v>1233941.1152137006</c:v>
                </c:pt>
                <c:pt idx="11">
                  <c:v>1500326.3458231951</c:v>
                </c:pt>
                <c:pt idx="12">
                  <c:v>1429659.5633519283</c:v>
                </c:pt>
                <c:pt idx="13">
                  <c:v>1908885.4776180533</c:v>
                </c:pt>
              </c:numCache>
            </c:numRef>
          </c:val>
          <c:smooth val="0"/>
          <c:extLst>
            <c:ext xmlns:c16="http://schemas.microsoft.com/office/drawing/2014/chart" uri="{C3380CC4-5D6E-409C-BE32-E72D297353CC}">
              <c16:uniqueId val="{00000006-76C4-6D4C-B413-56F1D4ED064D}"/>
            </c:ext>
          </c:extLst>
        </c:ser>
        <c:ser>
          <c:idx val="10"/>
          <c:order val="7"/>
          <c:tx>
            <c:v>WA</c:v>
          </c:tx>
          <c:spPr>
            <a:ln w="19050" cap="rnd">
              <a:solidFill>
                <a:srgbClr val="FFCC99"/>
              </a:solidFill>
              <a:round/>
            </a:ln>
            <a:effectLst/>
          </c:spPr>
          <c:marker>
            <c:symbol val="none"/>
          </c:marker>
          <c:cat>
            <c:strRef>
              <c:f>'Generation by financial year'!$C$7:$P$7</c:f>
              <c:strCache>
                <c:ptCount val="14"/>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strCache>
            </c:strRef>
          </c:cat>
          <c:val>
            <c:numRef>
              <c:f>'Generation by financial year'!$DS$9:$EF$9</c:f>
              <c:numCache>
                <c:formatCode>#,##0</c:formatCode>
                <c:ptCount val="14"/>
                <c:pt idx="0">
                  <c:v>438354.91944984271</c:v>
                </c:pt>
                <c:pt idx="1">
                  <c:v>435379.31047633063</c:v>
                </c:pt>
                <c:pt idx="2">
                  <c:v>441910.74394373142</c:v>
                </c:pt>
                <c:pt idx="3">
                  <c:v>462738.49234965415</c:v>
                </c:pt>
                <c:pt idx="4">
                  <c:v>598879.66958064982</c:v>
                </c:pt>
                <c:pt idx="5">
                  <c:v>566392.44448633876</c:v>
                </c:pt>
                <c:pt idx="6">
                  <c:v>619996.86386930849</c:v>
                </c:pt>
                <c:pt idx="7">
                  <c:v>645786.58537035296</c:v>
                </c:pt>
                <c:pt idx="8">
                  <c:v>580273.90994717693</c:v>
                </c:pt>
                <c:pt idx="9">
                  <c:v>655248.64046531671</c:v>
                </c:pt>
                <c:pt idx="10">
                  <c:v>615922.35991171538</c:v>
                </c:pt>
                <c:pt idx="11">
                  <c:v>786932.95796697005</c:v>
                </c:pt>
                <c:pt idx="12">
                  <c:v>760325.05525004445</c:v>
                </c:pt>
                <c:pt idx="13">
                  <c:v>740733.62065448344</c:v>
                </c:pt>
              </c:numCache>
            </c:numRef>
          </c:val>
          <c:smooth val="0"/>
          <c:extLst>
            <c:ext xmlns:c16="http://schemas.microsoft.com/office/drawing/2014/chart" uri="{C3380CC4-5D6E-409C-BE32-E72D297353CC}">
              <c16:uniqueId val="{00000007-76C4-6D4C-B413-56F1D4ED064D}"/>
            </c:ext>
          </c:extLst>
        </c:ser>
        <c:dLbls>
          <c:showLegendKey val="0"/>
          <c:showVal val="0"/>
          <c:showCatName val="0"/>
          <c:showSerName val="0"/>
          <c:showPercent val="0"/>
          <c:showBubbleSize val="0"/>
        </c:dLbls>
        <c:smooth val="0"/>
        <c:axId val="1116250744"/>
        <c:axId val="1116248120"/>
      </c:lineChart>
      <c:catAx>
        <c:axId val="11162507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1116248120"/>
        <c:crosses val="autoZero"/>
        <c:auto val="1"/>
        <c:lblAlgn val="ctr"/>
        <c:lblOffset val="100"/>
        <c:noMultiLvlLbl val="0"/>
      </c:catAx>
      <c:valAx>
        <c:axId val="1116248120"/>
        <c:scaling>
          <c:orientation val="minMax"/>
          <c:max val="800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en-US"/>
                  <a:t>Millions of tonnes of waste generated</a:t>
                </a:r>
              </a:p>
            </c:rich>
          </c:tx>
          <c:layout>
            <c:manualLayout>
              <c:xMode val="edge"/>
              <c:yMode val="edge"/>
              <c:x val="1.5608914476493624E-2"/>
              <c:y val="0.3946217187194976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1116250744"/>
        <c:crosses val="autoZero"/>
        <c:crossBetween val="between"/>
        <c:dispUnits>
          <c:builtInUnit val="millions"/>
        </c:dispUnits>
      </c:valAx>
      <c:spPr>
        <a:noFill/>
        <a:ln>
          <a:noFill/>
        </a:ln>
        <a:effectLst/>
      </c:spPr>
    </c:plotArea>
    <c:legend>
      <c:legendPos val="t"/>
      <c:layout>
        <c:manualLayout>
          <c:xMode val="edge"/>
          <c:yMode val="edge"/>
          <c:x val="4.2141746188301632E-2"/>
          <c:y val="1.2389706007885512E-2"/>
          <c:w val="0.94053498210783992"/>
          <c:h val="7.3372573087130646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00">
          <a:solidFill>
            <a:schemeClr val="tx1"/>
          </a:solidFill>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53365412285755"/>
          <c:y val="7.4410578790809895E-2"/>
          <c:w val="0.81879717308213873"/>
          <c:h val="0.7948746119468908"/>
        </c:manualLayout>
      </c:layout>
      <c:lineChart>
        <c:grouping val="standard"/>
        <c:varyColors val="0"/>
        <c:ser>
          <c:idx val="3"/>
          <c:order val="0"/>
          <c:tx>
            <c:strRef>
              <c:f>'Generation by financial year'!$C$6</c:f>
              <c:strCache>
                <c:ptCount val="1"/>
                <c:pt idx="0">
                  <c:v>NATIONAL TOTAL</c:v>
                </c:pt>
              </c:strCache>
            </c:strRef>
          </c:tx>
          <c:spPr>
            <a:ln w="19050" cap="rnd">
              <a:solidFill>
                <a:schemeClr val="tx1"/>
              </a:solidFill>
              <a:prstDash val="dash"/>
              <a:round/>
            </a:ln>
            <a:effectLst/>
          </c:spPr>
          <c:marker>
            <c:symbol val="none"/>
          </c:marker>
          <c:cat>
            <c:strRef>
              <c:f>'Generation by financial year'!$C$7:$P$7</c:f>
              <c:strCache>
                <c:ptCount val="14"/>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strCache>
            </c:strRef>
          </c:cat>
          <c:val>
            <c:numRef>
              <c:f>'Generation by financial year'!$C$9:$P$9</c:f>
              <c:numCache>
                <c:formatCode>#,##0</c:formatCode>
                <c:ptCount val="14"/>
                <c:pt idx="0">
                  <c:v>4803508.52162233</c:v>
                </c:pt>
                <c:pt idx="1">
                  <c:v>5704819.9175767368</c:v>
                </c:pt>
                <c:pt idx="2">
                  <c:v>4501515.176283027</c:v>
                </c:pt>
                <c:pt idx="3">
                  <c:v>4599301.1930380743</c:v>
                </c:pt>
                <c:pt idx="4">
                  <c:v>4972617.485334089</c:v>
                </c:pt>
                <c:pt idx="5">
                  <c:v>5271997.8662594343</c:v>
                </c:pt>
                <c:pt idx="6">
                  <c:v>5917158.186844823</c:v>
                </c:pt>
                <c:pt idx="7">
                  <c:v>5984559.4814477656</c:v>
                </c:pt>
                <c:pt idx="8">
                  <c:v>5431519.7996024117</c:v>
                </c:pt>
                <c:pt idx="9">
                  <c:v>5801334.4659092613</c:v>
                </c:pt>
                <c:pt idx="10">
                  <c:v>6489668.7960791504</c:v>
                </c:pt>
                <c:pt idx="11">
                  <c:v>7917000.6622959133</c:v>
                </c:pt>
                <c:pt idx="12">
                  <c:v>8005186.6657536402</c:v>
                </c:pt>
                <c:pt idx="13">
                  <c:v>7376177.3672139822</c:v>
                </c:pt>
              </c:numCache>
            </c:numRef>
          </c:val>
          <c:smooth val="0"/>
          <c:extLst>
            <c:ext xmlns:c16="http://schemas.microsoft.com/office/drawing/2014/chart" uri="{C3380CC4-5D6E-409C-BE32-E72D297353CC}">
              <c16:uniqueId val="{00000000-EFF7-BD4E-AA1E-2885F9A11393}"/>
            </c:ext>
          </c:extLst>
        </c:ser>
        <c:dLbls>
          <c:showLegendKey val="0"/>
          <c:showVal val="0"/>
          <c:showCatName val="0"/>
          <c:showSerName val="0"/>
          <c:showPercent val="0"/>
          <c:showBubbleSize val="0"/>
        </c:dLbls>
        <c:smooth val="0"/>
        <c:axId val="1116250744"/>
        <c:axId val="1116248120"/>
      </c:lineChart>
      <c:catAx>
        <c:axId val="11162507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solidFill>
                <a:latin typeface="+mn-lt"/>
                <a:ea typeface="+mn-ea"/>
                <a:cs typeface="+mn-cs"/>
              </a:defRPr>
            </a:pPr>
            <a:endParaRPr lang="en-US"/>
          </a:p>
        </c:txPr>
        <c:crossAx val="1116248120"/>
        <c:crosses val="autoZero"/>
        <c:auto val="1"/>
        <c:lblAlgn val="ctr"/>
        <c:lblOffset val="100"/>
        <c:noMultiLvlLbl val="0"/>
      </c:catAx>
      <c:valAx>
        <c:axId val="1116248120"/>
        <c:scaling>
          <c:orientation val="minMax"/>
          <c:max val="8004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0" i="0" u="none" strike="noStrike" kern="1200" baseline="0">
                    <a:solidFill>
                      <a:schemeClr val="tx1"/>
                    </a:solidFill>
                    <a:latin typeface="+mn-lt"/>
                    <a:ea typeface="+mn-ea"/>
                    <a:cs typeface="+mn-cs"/>
                  </a:defRPr>
                </a:pPr>
                <a:r>
                  <a:rPr lang="en-US"/>
                  <a:t>Millions of tonnes of waste generated</a:t>
                </a:r>
              </a:p>
            </c:rich>
          </c:tx>
          <c:layout>
            <c:manualLayout>
              <c:xMode val="edge"/>
              <c:yMode val="edge"/>
              <c:x val="1.8147891800328379E-2"/>
              <c:y val="0.23392355927615138"/>
            </c:manualLayout>
          </c:layout>
          <c:overlay val="0"/>
          <c:spPr>
            <a:noFill/>
            <a:ln>
              <a:noFill/>
            </a:ln>
            <a:effectLst/>
          </c:spPr>
          <c:txPr>
            <a:bodyPr rot="-5400000" spcFirstLastPara="1" vertOverflow="ellipsis" vert="horz" wrap="square" anchor="ctr" anchorCtr="1"/>
            <a:lstStyle/>
            <a:p>
              <a:pPr>
                <a:defRPr sz="1400" b="0" i="0" u="none" strike="noStrike" kern="1200" baseline="0">
                  <a:solidFill>
                    <a:schemeClr val="tx1"/>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solidFill>
                <a:latin typeface="+mn-lt"/>
                <a:ea typeface="+mn-ea"/>
                <a:cs typeface="+mn-cs"/>
              </a:defRPr>
            </a:pPr>
            <a:endParaRPr lang="en-US"/>
          </a:p>
        </c:txPr>
        <c:crossAx val="1116250744"/>
        <c:crosses val="autoZero"/>
        <c:crossBetween val="between"/>
        <c:dispUnits>
          <c:builtInUnit val="millions"/>
        </c:dispUnits>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400">
          <a:solidFill>
            <a:schemeClr val="tx1"/>
          </a:solidFill>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438738426412378"/>
          <c:y val="0.11383115562299978"/>
          <c:w val="0.84540959403677374"/>
          <c:h val="0.74968022881781282"/>
        </c:manualLayout>
      </c:layout>
      <c:lineChart>
        <c:grouping val="standard"/>
        <c:varyColors val="0"/>
        <c:ser>
          <c:idx val="3"/>
          <c:order val="0"/>
          <c:tx>
            <c:strRef>
              <c:f>'Generation by financial year'!$C$6</c:f>
              <c:strCache>
                <c:ptCount val="1"/>
                <c:pt idx="0">
                  <c:v>NATIONAL TOTAL</c:v>
                </c:pt>
              </c:strCache>
            </c:strRef>
          </c:tx>
          <c:spPr>
            <a:ln w="19050" cap="rnd">
              <a:solidFill>
                <a:schemeClr val="tx1"/>
              </a:solidFill>
              <a:prstDash val="dash"/>
              <a:round/>
            </a:ln>
            <a:effectLst/>
          </c:spPr>
          <c:marker>
            <c:symbol val="none"/>
          </c:marker>
          <c:cat>
            <c:strRef>
              <c:f>'Generation by financial year'!$C$7:$P$7</c:f>
              <c:strCache>
                <c:ptCount val="14"/>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strCache>
            </c:strRef>
          </c:cat>
          <c:val>
            <c:numRef>
              <c:f>'Generation by financial year'!$C$175:$P$175</c:f>
              <c:numCache>
                <c:formatCode>#,##0</c:formatCode>
                <c:ptCount val="14"/>
                <c:pt idx="0">
                  <c:v>2700488.7073514191</c:v>
                </c:pt>
                <c:pt idx="1">
                  <c:v>2714870.2410083842</c:v>
                </c:pt>
                <c:pt idx="2">
                  <c:v>2613066.9072685419</c:v>
                </c:pt>
                <c:pt idx="3">
                  <c:v>2851557.8490547403</c:v>
                </c:pt>
                <c:pt idx="4">
                  <c:v>3070785.3906584466</c:v>
                </c:pt>
                <c:pt idx="5">
                  <c:v>3305290.010903731</c:v>
                </c:pt>
                <c:pt idx="6">
                  <c:v>3689509.0307831941</c:v>
                </c:pt>
                <c:pt idx="7">
                  <c:v>3562174.1826878721</c:v>
                </c:pt>
                <c:pt idx="8">
                  <c:v>3349558.5271597998</c:v>
                </c:pt>
                <c:pt idx="9">
                  <c:v>3185230.2139625871</c:v>
                </c:pt>
                <c:pt idx="10">
                  <c:v>3153328.8563830853</c:v>
                </c:pt>
                <c:pt idx="11">
                  <c:v>3450971.5801714612</c:v>
                </c:pt>
                <c:pt idx="12">
                  <c:v>3656321.2489825077</c:v>
                </c:pt>
                <c:pt idx="13">
                  <c:v>3467232.3389188452</c:v>
                </c:pt>
              </c:numCache>
            </c:numRef>
          </c:val>
          <c:smooth val="0"/>
          <c:extLst>
            <c:ext xmlns:c16="http://schemas.microsoft.com/office/drawing/2014/chart" uri="{C3380CC4-5D6E-409C-BE32-E72D297353CC}">
              <c16:uniqueId val="{00000000-534E-4303-AB88-407FBC3730F0}"/>
            </c:ext>
          </c:extLst>
        </c:ser>
        <c:ser>
          <c:idx val="4"/>
          <c:order val="1"/>
          <c:tx>
            <c:v>NSW</c:v>
          </c:tx>
          <c:spPr>
            <a:ln w="19050" cap="rnd">
              <a:solidFill>
                <a:srgbClr val="00B0F0"/>
              </a:solidFill>
              <a:round/>
            </a:ln>
            <a:effectLst/>
          </c:spPr>
          <c:marker>
            <c:symbol val="none"/>
          </c:marker>
          <c:cat>
            <c:strRef>
              <c:f>'Generation by financial year'!$C$7:$P$7</c:f>
              <c:strCache>
                <c:ptCount val="14"/>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strCache>
            </c:strRef>
          </c:cat>
          <c:val>
            <c:numRef>
              <c:f>'Generation by financial year'!$AG$175:$AT$175</c:f>
              <c:numCache>
                <c:formatCode>#,##0</c:formatCode>
                <c:ptCount val="14"/>
                <c:pt idx="0">
                  <c:v>458713.64748025476</c:v>
                </c:pt>
                <c:pt idx="1">
                  <c:v>444045.7059664363</c:v>
                </c:pt>
                <c:pt idx="2">
                  <c:v>489767.26915767242</c:v>
                </c:pt>
                <c:pt idx="3">
                  <c:v>581092.83720239578</c:v>
                </c:pt>
                <c:pt idx="4">
                  <c:v>449912.6541858532</c:v>
                </c:pt>
                <c:pt idx="5">
                  <c:v>584517.9488791863</c:v>
                </c:pt>
                <c:pt idx="6">
                  <c:v>670609.49516913446</c:v>
                </c:pt>
                <c:pt idx="7">
                  <c:v>711508.05978033948</c:v>
                </c:pt>
                <c:pt idx="8">
                  <c:v>569921.68121658429</c:v>
                </c:pt>
                <c:pt idx="9">
                  <c:v>668225.02108899085</c:v>
                </c:pt>
                <c:pt idx="10">
                  <c:v>677668.99666524865</c:v>
                </c:pt>
                <c:pt idx="11">
                  <c:v>741335.17610750301</c:v>
                </c:pt>
                <c:pt idx="12">
                  <c:v>706174.57807475748</c:v>
                </c:pt>
                <c:pt idx="13">
                  <c:v>604926.6326882327</c:v>
                </c:pt>
              </c:numCache>
            </c:numRef>
          </c:val>
          <c:smooth val="0"/>
          <c:extLst>
            <c:ext xmlns:c16="http://schemas.microsoft.com/office/drawing/2014/chart" uri="{C3380CC4-5D6E-409C-BE32-E72D297353CC}">
              <c16:uniqueId val="{00000001-534E-4303-AB88-407FBC3730F0}"/>
            </c:ext>
          </c:extLst>
        </c:ser>
        <c:ser>
          <c:idx val="5"/>
          <c:order val="2"/>
          <c:tx>
            <c:strRef>
              <c:f>'Generation by financial year'!$AV$6</c:f>
              <c:strCache>
                <c:ptCount val="1"/>
                <c:pt idx="0">
                  <c:v>NT</c:v>
                </c:pt>
              </c:strCache>
            </c:strRef>
          </c:tx>
          <c:spPr>
            <a:ln w="19050" cap="rnd">
              <a:solidFill>
                <a:schemeClr val="accent6"/>
              </a:solidFill>
              <a:round/>
            </a:ln>
            <a:effectLst/>
          </c:spPr>
          <c:marker>
            <c:symbol val="none"/>
          </c:marker>
          <c:cat>
            <c:strRef>
              <c:f>'Generation by financial year'!$C$7:$P$7</c:f>
              <c:strCache>
                <c:ptCount val="14"/>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strCache>
            </c:strRef>
          </c:cat>
          <c:val>
            <c:numRef>
              <c:f>'Generation by financial year'!$AV$175:$BI$175</c:f>
              <c:numCache>
                <c:formatCode>#,##0</c:formatCode>
                <c:ptCount val="14"/>
                <c:pt idx="0">
                  <c:v>22721.404541115182</c:v>
                </c:pt>
                <c:pt idx="1">
                  <c:v>23323.169843420983</c:v>
                </c:pt>
                <c:pt idx="2">
                  <c:v>23959.281742870404</c:v>
                </c:pt>
                <c:pt idx="3">
                  <c:v>24525.300743446831</c:v>
                </c:pt>
                <c:pt idx="4">
                  <c:v>24796.19741558878</c:v>
                </c:pt>
                <c:pt idx="5">
                  <c:v>25060.849251886451</c:v>
                </c:pt>
                <c:pt idx="6">
                  <c:v>25779.866730647991</c:v>
                </c:pt>
                <c:pt idx="7">
                  <c:v>26171.030327584282</c:v>
                </c:pt>
                <c:pt idx="8">
                  <c:v>18557.074632439093</c:v>
                </c:pt>
                <c:pt idx="9">
                  <c:v>11953.722055261414</c:v>
                </c:pt>
                <c:pt idx="10">
                  <c:v>15571.931891544031</c:v>
                </c:pt>
                <c:pt idx="11">
                  <c:v>14323.947787165143</c:v>
                </c:pt>
                <c:pt idx="12">
                  <c:v>70536.76433000002</c:v>
                </c:pt>
                <c:pt idx="13">
                  <c:v>34891.778717512396</c:v>
                </c:pt>
              </c:numCache>
            </c:numRef>
          </c:val>
          <c:smooth val="0"/>
          <c:extLst>
            <c:ext xmlns:c16="http://schemas.microsoft.com/office/drawing/2014/chart" uri="{C3380CC4-5D6E-409C-BE32-E72D297353CC}">
              <c16:uniqueId val="{00000002-534E-4303-AB88-407FBC3730F0}"/>
            </c:ext>
          </c:extLst>
        </c:ser>
        <c:ser>
          <c:idx val="6"/>
          <c:order val="3"/>
          <c:tx>
            <c:v>Qld</c:v>
          </c:tx>
          <c:spPr>
            <a:ln w="19050" cap="rnd">
              <a:solidFill>
                <a:srgbClr val="963634"/>
              </a:solidFill>
              <a:round/>
            </a:ln>
            <a:effectLst/>
          </c:spPr>
          <c:marker>
            <c:symbol val="none"/>
          </c:marker>
          <c:cat>
            <c:strRef>
              <c:f>'Generation by financial year'!$C$7:$P$7</c:f>
              <c:strCache>
                <c:ptCount val="14"/>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strCache>
            </c:strRef>
          </c:cat>
          <c:val>
            <c:numRef>
              <c:f>'Generation by financial year'!$BK$175:$BX$175</c:f>
              <c:numCache>
                <c:formatCode>#,##0</c:formatCode>
                <c:ptCount val="14"/>
                <c:pt idx="0">
                  <c:v>737504.63804626872</c:v>
                </c:pt>
                <c:pt idx="1">
                  <c:v>766504.39390065381</c:v>
                </c:pt>
                <c:pt idx="2">
                  <c:v>624902.62721203966</c:v>
                </c:pt>
                <c:pt idx="3">
                  <c:v>728652.675536733</c:v>
                </c:pt>
                <c:pt idx="4">
                  <c:v>874615.79710280523</c:v>
                </c:pt>
                <c:pt idx="5">
                  <c:v>843114.24004474934</c:v>
                </c:pt>
                <c:pt idx="6">
                  <c:v>1152029.5313428738</c:v>
                </c:pt>
                <c:pt idx="7">
                  <c:v>1222661.7224194312</c:v>
                </c:pt>
                <c:pt idx="8">
                  <c:v>1158184.4919768728</c:v>
                </c:pt>
                <c:pt idx="9">
                  <c:v>768227.07175195357</c:v>
                </c:pt>
                <c:pt idx="10">
                  <c:v>839808.56492020586</c:v>
                </c:pt>
                <c:pt idx="11">
                  <c:v>919630.92468529008</c:v>
                </c:pt>
                <c:pt idx="12">
                  <c:v>971795.72527083056</c:v>
                </c:pt>
                <c:pt idx="13">
                  <c:v>957976.5724385184</c:v>
                </c:pt>
              </c:numCache>
            </c:numRef>
          </c:val>
          <c:smooth val="0"/>
          <c:extLst>
            <c:ext xmlns:c16="http://schemas.microsoft.com/office/drawing/2014/chart" uri="{C3380CC4-5D6E-409C-BE32-E72D297353CC}">
              <c16:uniqueId val="{00000003-534E-4303-AB88-407FBC3730F0}"/>
            </c:ext>
          </c:extLst>
        </c:ser>
        <c:ser>
          <c:idx val="7"/>
          <c:order val="4"/>
          <c:tx>
            <c:v>SA</c:v>
          </c:tx>
          <c:spPr>
            <a:ln w="19050" cap="rnd">
              <a:solidFill>
                <a:srgbClr val="FF0000"/>
              </a:solidFill>
              <a:round/>
            </a:ln>
            <a:effectLst/>
          </c:spPr>
          <c:marker>
            <c:symbol val="none"/>
          </c:marker>
          <c:cat>
            <c:strRef>
              <c:f>'Generation by financial year'!$C$7:$P$7</c:f>
              <c:strCache>
                <c:ptCount val="14"/>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strCache>
            </c:strRef>
          </c:cat>
          <c:val>
            <c:numRef>
              <c:f>'Generation by financial year'!$BZ$175:$CM$175</c:f>
              <c:numCache>
                <c:formatCode>#,##0</c:formatCode>
                <c:ptCount val="14"/>
                <c:pt idx="0">
                  <c:v>144116.01325831562</c:v>
                </c:pt>
                <c:pt idx="1">
                  <c:v>144281.50295965915</c:v>
                </c:pt>
                <c:pt idx="2">
                  <c:v>141179.32450899092</c:v>
                </c:pt>
                <c:pt idx="3">
                  <c:v>169993.80649283994</c:v>
                </c:pt>
                <c:pt idx="4">
                  <c:v>247979.37263389686</c:v>
                </c:pt>
                <c:pt idx="5">
                  <c:v>415837.75653145899</c:v>
                </c:pt>
                <c:pt idx="6">
                  <c:v>268406.92328476656</c:v>
                </c:pt>
                <c:pt idx="7">
                  <c:v>152673.69999902989</c:v>
                </c:pt>
                <c:pt idx="8">
                  <c:v>254175.50945243594</c:v>
                </c:pt>
                <c:pt idx="9">
                  <c:v>190215.26819694336</c:v>
                </c:pt>
                <c:pt idx="10">
                  <c:v>221250.91857726761</c:v>
                </c:pt>
                <c:pt idx="11">
                  <c:v>203689.65111304476</c:v>
                </c:pt>
                <c:pt idx="12">
                  <c:v>183215.34856431332</c:v>
                </c:pt>
                <c:pt idx="13">
                  <c:v>153455.87200650005</c:v>
                </c:pt>
              </c:numCache>
            </c:numRef>
          </c:val>
          <c:smooth val="0"/>
          <c:extLst>
            <c:ext xmlns:c16="http://schemas.microsoft.com/office/drawing/2014/chart" uri="{C3380CC4-5D6E-409C-BE32-E72D297353CC}">
              <c16:uniqueId val="{00000004-534E-4303-AB88-407FBC3730F0}"/>
            </c:ext>
          </c:extLst>
        </c:ser>
        <c:ser>
          <c:idx val="8"/>
          <c:order val="5"/>
          <c:tx>
            <c:v>Tas</c:v>
          </c:tx>
          <c:spPr>
            <a:ln w="19050" cap="rnd">
              <a:solidFill>
                <a:srgbClr val="00B050"/>
              </a:solidFill>
              <a:round/>
            </a:ln>
            <a:effectLst/>
          </c:spPr>
          <c:marker>
            <c:symbol val="none"/>
          </c:marker>
          <c:cat>
            <c:strRef>
              <c:f>'Generation by financial year'!$C$7:$P$7</c:f>
              <c:strCache>
                <c:ptCount val="14"/>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strCache>
            </c:strRef>
          </c:cat>
          <c:val>
            <c:numRef>
              <c:f>'Generation by financial year'!$CO$175:$DB$175</c:f>
              <c:numCache>
                <c:formatCode>#,##0</c:formatCode>
                <c:ptCount val="14"/>
                <c:pt idx="0">
                  <c:v>261363.2630921847</c:v>
                </c:pt>
                <c:pt idx="1">
                  <c:v>263649.08607212582</c:v>
                </c:pt>
                <c:pt idx="2">
                  <c:v>266761.17439919786</c:v>
                </c:pt>
                <c:pt idx="3">
                  <c:v>269075.24224920495</c:v>
                </c:pt>
                <c:pt idx="4">
                  <c:v>271084.16927765217</c:v>
                </c:pt>
                <c:pt idx="5">
                  <c:v>271930.63417149527</c:v>
                </c:pt>
                <c:pt idx="6">
                  <c:v>271704.52227789973</c:v>
                </c:pt>
                <c:pt idx="7">
                  <c:v>272267.66053588444</c:v>
                </c:pt>
                <c:pt idx="8">
                  <c:v>294767.09494952613</c:v>
                </c:pt>
                <c:pt idx="9">
                  <c:v>377072.48204125901</c:v>
                </c:pt>
                <c:pt idx="10">
                  <c:v>150478.13613041883</c:v>
                </c:pt>
                <c:pt idx="11">
                  <c:v>236968.8709642071</c:v>
                </c:pt>
                <c:pt idx="12">
                  <c:v>402970.59225771966</c:v>
                </c:pt>
                <c:pt idx="13">
                  <c:v>315388.49052487564</c:v>
                </c:pt>
              </c:numCache>
            </c:numRef>
          </c:val>
          <c:smooth val="0"/>
          <c:extLst>
            <c:ext xmlns:c16="http://schemas.microsoft.com/office/drawing/2014/chart" uri="{C3380CC4-5D6E-409C-BE32-E72D297353CC}">
              <c16:uniqueId val="{00000005-534E-4303-AB88-407FBC3730F0}"/>
            </c:ext>
          </c:extLst>
        </c:ser>
        <c:ser>
          <c:idx val="9"/>
          <c:order val="6"/>
          <c:tx>
            <c:v>Vic</c:v>
          </c:tx>
          <c:spPr>
            <a:ln w="19050" cap="rnd">
              <a:solidFill>
                <a:srgbClr val="002060"/>
              </a:solidFill>
              <a:round/>
            </a:ln>
            <a:effectLst/>
          </c:spPr>
          <c:marker>
            <c:symbol val="none"/>
          </c:marker>
          <c:cat>
            <c:strRef>
              <c:f>'Generation by financial year'!$C$7:$P$7</c:f>
              <c:strCache>
                <c:ptCount val="14"/>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strCache>
            </c:strRef>
          </c:cat>
          <c:val>
            <c:numRef>
              <c:f>'Generation by financial year'!$DD$175:$DQ$175</c:f>
              <c:numCache>
                <c:formatCode>#,##0</c:formatCode>
                <c:ptCount val="14"/>
                <c:pt idx="0">
                  <c:v>640982.43381950771</c:v>
                </c:pt>
                <c:pt idx="1">
                  <c:v>640320.58337548003</c:v>
                </c:pt>
                <c:pt idx="2">
                  <c:v>632562.19913437497</c:v>
                </c:pt>
                <c:pt idx="3">
                  <c:v>627617.15241431305</c:v>
                </c:pt>
                <c:pt idx="4">
                  <c:v>619326.99243257765</c:v>
                </c:pt>
                <c:pt idx="5">
                  <c:v>604769.49559402373</c:v>
                </c:pt>
                <c:pt idx="6">
                  <c:v>699795.63444731175</c:v>
                </c:pt>
                <c:pt idx="7">
                  <c:v>552308.34599492257</c:v>
                </c:pt>
                <c:pt idx="8">
                  <c:v>512550.67632078752</c:v>
                </c:pt>
                <c:pt idx="9">
                  <c:v>555908.78315182077</c:v>
                </c:pt>
                <c:pt idx="10">
                  <c:v>664506.01941525412</c:v>
                </c:pt>
                <c:pt idx="11">
                  <c:v>584090.94982319046</c:v>
                </c:pt>
                <c:pt idx="12">
                  <c:v>592415.96016292495</c:v>
                </c:pt>
                <c:pt idx="13">
                  <c:v>675505.76507205586</c:v>
                </c:pt>
              </c:numCache>
            </c:numRef>
          </c:val>
          <c:smooth val="0"/>
          <c:extLst>
            <c:ext xmlns:c16="http://schemas.microsoft.com/office/drawing/2014/chart" uri="{C3380CC4-5D6E-409C-BE32-E72D297353CC}">
              <c16:uniqueId val="{00000006-534E-4303-AB88-407FBC3730F0}"/>
            </c:ext>
          </c:extLst>
        </c:ser>
        <c:ser>
          <c:idx val="10"/>
          <c:order val="7"/>
          <c:tx>
            <c:v>WA</c:v>
          </c:tx>
          <c:spPr>
            <a:ln w="19050" cap="rnd">
              <a:solidFill>
                <a:srgbClr val="FFCC99"/>
              </a:solidFill>
              <a:round/>
            </a:ln>
            <a:effectLst/>
          </c:spPr>
          <c:marker>
            <c:symbol val="none"/>
          </c:marker>
          <c:cat>
            <c:strRef>
              <c:f>'Generation by financial year'!$C$7:$P$7</c:f>
              <c:strCache>
                <c:ptCount val="14"/>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strCache>
            </c:strRef>
          </c:cat>
          <c:val>
            <c:numRef>
              <c:f>'Generation by financial year'!$DS$175:$EF$175</c:f>
              <c:numCache>
                <c:formatCode>#,##0</c:formatCode>
                <c:ptCount val="14"/>
                <c:pt idx="0">
                  <c:v>425275.86106784269</c:v>
                </c:pt>
                <c:pt idx="1">
                  <c:v>422766.32529633061</c:v>
                </c:pt>
                <c:pt idx="2">
                  <c:v>423754.76532373141</c:v>
                </c:pt>
                <c:pt idx="3">
                  <c:v>440224.61863965413</c:v>
                </c:pt>
                <c:pt idx="4">
                  <c:v>572491.77887064987</c:v>
                </c:pt>
                <c:pt idx="5">
                  <c:v>549278.67669033876</c:v>
                </c:pt>
                <c:pt idx="6">
                  <c:v>590165.20558230847</c:v>
                </c:pt>
                <c:pt idx="7">
                  <c:v>613370.78954435291</c:v>
                </c:pt>
                <c:pt idx="8">
                  <c:v>528440.71325924643</c:v>
                </c:pt>
                <c:pt idx="9">
                  <c:v>602296.32698185043</c:v>
                </c:pt>
                <c:pt idx="10">
                  <c:v>571879.80688771536</c:v>
                </c:pt>
                <c:pt idx="11">
                  <c:v>737007.47647910472</c:v>
                </c:pt>
                <c:pt idx="12">
                  <c:v>716965.47232196049</c:v>
                </c:pt>
                <c:pt idx="13">
                  <c:v>711891.79017115012</c:v>
                </c:pt>
              </c:numCache>
            </c:numRef>
          </c:val>
          <c:smooth val="0"/>
          <c:extLst>
            <c:ext xmlns:c16="http://schemas.microsoft.com/office/drawing/2014/chart" uri="{C3380CC4-5D6E-409C-BE32-E72D297353CC}">
              <c16:uniqueId val="{00000007-534E-4303-AB88-407FBC3730F0}"/>
            </c:ext>
          </c:extLst>
        </c:ser>
        <c:dLbls>
          <c:showLegendKey val="0"/>
          <c:showVal val="0"/>
          <c:showCatName val="0"/>
          <c:showSerName val="0"/>
          <c:showPercent val="0"/>
          <c:showBubbleSize val="0"/>
        </c:dLbls>
        <c:smooth val="0"/>
        <c:axId val="1116250744"/>
        <c:axId val="1116248120"/>
      </c:lineChart>
      <c:catAx>
        <c:axId val="11162507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solidFill>
                <a:latin typeface="+mn-lt"/>
                <a:ea typeface="+mn-ea"/>
                <a:cs typeface="+mn-cs"/>
              </a:defRPr>
            </a:pPr>
            <a:endParaRPr lang="en-US"/>
          </a:p>
        </c:txPr>
        <c:crossAx val="1116248120"/>
        <c:crosses val="autoZero"/>
        <c:auto val="1"/>
        <c:lblAlgn val="ctr"/>
        <c:lblOffset val="100"/>
        <c:noMultiLvlLbl val="0"/>
      </c:catAx>
      <c:valAx>
        <c:axId val="111624812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0" i="0" u="none" strike="noStrike" kern="1200" baseline="0">
                    <a:solidFill>
                      <a:schemeClr val="tx1"/>
                    </a:solidFill>
                    <a:latin typeface="+mn-lt"/>
                    <a:ea typeface="+mn-ea"/>
                    <a:cs typeface="+mn-cs"/>
                  </a:defRPr>
                </a:pPr>
                <a:r>
                  <a:rPr lang="en-US"/>
                  <a:t>Millions of tonnes of waste generated</a:t>
                </a:r>
              </a:p>
            </c:rich>
          </c:tx>
          <c:layout>
            <c:manualLayout>
              <c:xMode val="edge"/>
              <c:yMode val="edge"/>
              <c:x val="2.314705377170621E-2"/>
              <c:y val="0.24035621290827833"/>
            </c:manualLayout>
          </c:layout>
          <c:overlay val="0"/>
          <c:spPr>
            <a:noFill/>
            <a:ln>
              <a:noFill/>
            </a:ln>
            <a:effectLst/>
          </c:spPr>
          <c:txPr>
            <a:bodyPr rot="-5400000" spcFirstLastPara="1" vertOverflow="ellipsis" vert="horz" wrap="square" anchor="ctr" anchorCtr="1"/>
            <a:lstStyle/>
            <a:p>
              <a:pPr>
                <a:defRPr sz="1400" b="0" i="0" u="none" strike="noStrike" kern="1200" baseline="0">
                  <a:solidFill>
                    <a:schemeClr val="tx1"/>
                  </a:solidFill>
                  <a:latin typeface="+mn-lt"/>
                  <a:ea typeface="+mn-ea"/>
                  <a:cs typeface="+mn-cs"/>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solidFill>
                <a:latin typeface="+mn-lt"/>
                <a:ea typeface="+mn-ea"/>
                <a:cs typeface="+mn-cs"/>
              </a:defRPr>
            </a:pPr>
            <a:endParaRPr lang="en-US"/>
          </a:p>
        </c:txPr>
        <c:crossAx val="1116250744"/>
        <c:crosses val="autoZero"/>
        <c:crossBetween val="between"/>
        <c:dispUnits>
          <c:builtInUnit val="millions"/>
        </c:dispUnits>
      </c:valAx>
      <c:spPr>
        <a:noFill/>
        <a:ln>
          <a:noFill/>
        </a:ln>
        <a:effectLst/>
      </c:spPr>
    </c:plotArea>
    <c:legend>
      <c:legendPos val="t"/>
      <c:layout>
        <c:manualLayout>
          <c:xMode val="edge"/>
          <c:yMode val="edge"/>
          <c:x val="4.2141746188301632E-2"/>
          <c:y val="1.2389706007885512E-2"/>
          <c:w val="0.92120796494807111"/>
          <c:h val="7.6662037599343244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400">
          <a:solidFill>
            <a:schemeClr val="tx1"/>
          </a:solidFill>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areaChart>
        <c:grouping val="stacked"/>
        <c:varyColors val="0"/>
        <c:ser>
          <c:idx val="2"/>
          <c:order val="0"/>
          <c:tx>
            <c:strRef>
              <c:f>'Generation by financial year'!$A$175</c:f>
              <c:strCache>
                <c:ptCount val="1"/>
                <c:pt idx="0">
                  <c:v>Other</c:v>
                </c:pt>
              </c:strCache>
            </c:strRef>
          </c:tx>
          <c:spPr>
            <a:solidFill>
              <a:srgbClr val="FF5050"/>
            </a:solidFill>
            <a:ln>
              <a:noFill/>
            </a:ln>
            <a:effectLst/>
          </c:spPr>
          <c:cat>
            <c:strRef>
              <c:f>'Generation by financial year'!$C$7:$O$7</c:f>
              <c:strCache>
                <c:ptCount val="13"/>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strCache>
            </c:strRef>
          </c:cat>
          <c:val>
            <c:numRef>
              <c:f>'Generation by financial year'!$R$175:$AD$175</c:f>
              <c:numCache>
                <c:formatCode>#,##0</c:formatCode>
                <c:ptCount val="13"/>
                <c:pt idx="0">
                  <c:v>9811.4460459308139</c:v>
                </c:pt>
                <c:pt idx="1">
                  <c:v>9979.4735942747484</c:v>
                </c:pt>
                <c:pt idx="2">
                  <c:v>10180.265789664179</c:v>
                </c:pt>
                <c:pt idx="3">
                  <c:v>10376.215776153967</c:v>
                </c:pt>
                <c:pt idx="4">
                  <c:v>10578.428739424129</c:v>
                </c:pt>
                <c:pt idx="5">
                  <c:v>10780.40974059132</c:v>
                </c:pt>
                <c:pt idx="6">
                  <c:v>11017.851948251107</c:v>
                </c:pt>
                <c:pt idx="7">
                  <c:v>11212.874086328986</c:v>
                </c:pt>
                <c:pt idx="8">
                  <c:v>12961.285351908644</c:v>
                </c:pt>
                <c:pt idx="9">
                  <c:v>11331.538694506336</c:v>
                </c:pt>
                <c:pt idx="10">
                  <c:v>12164.481895429228</c:v>
                </c:pt>
                <c:pt idx="11">
                  <c:v>13924.583211954567</c:v>
                </c:pt>
                <c:pt idx="12">
                  <c:v>12246.808000000005</c:v>
                </c:pt>
              </c:numCache>
            </c:numRef>
          </c:val>
          <c:extLst>
            <c:ext xmlns:c16="http://schemas.microsoft.com/office/drawing/2014/chart" uri="{C3380CC4-5D6E-409C-BE32-E72D297353CC}">
              <c16:uniqueId val="{00000000-5D5A-4A1C-8CFA-F4ACBB8CFFAE}"/>
            </c:ext>
          </c:extLst>
        </c:ser>
        <c:ser>
          <c:idx val="1"/>
          <c:order val="1"/>
          <c:tx>
            <c:strRef>
              <c:f>'Generation by financial year'!$A$174</c:f>
              <c:strCache>
                <c:ptCount val="1"/>
                <c:pt idx="0">
                  <c:v>Asbestos</c:v>
                </c:pt>
              </c:strCache>
            </c:strRef>
          </c:tx>
          <c:spPr>
            <a:solidFill>
              <a:schemeClr val="bg1">
                <a:lumMod val="65000"/>
              </a:schemeClr>
            </a:solidFill>
            <a:ln>
              <a:noFill/>
            </a:ln>
            <a:effectLst/>
          </c:spPr>
          <c:cat>
            <c:strRef>
              <c:f>'Generation by financial year'!$C$7:$O$7</c:f>
              <c:strCache>
                <c:ptCount val="13"/>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strCache>
            </c:strRef>
          </c:cat>
          <c:val>
            <c:numRef>
              <c:f>'Generation by financial year'!$R$174:$AD$174</c:f>
              <c:numCache>
                <c:formatCode>#,##0</c:formatCode>
                <c:ptCount val="13"/>
                <c:pt idx="0">
                  <c:v>372</c:v>
                </c:pt>
                <c:pt idx="1">
                  <c:v>23.56</c:v>
                </c:pt>
                <c:pt idx="2">
                  <c:v>18661.03</c:v>
                </c:pt>
                <c:pt idx="3">
                  <c:v>170</c:v>
                </c:pt>
                <c:pt idx="4">
                  <c:v>1125.54</c:v>
                </c:pt>
                <c:pt idx="5">
                  <c:v>4756.68</c:v>
                </c:pt>
                <c:pt idx="6">
                  <c:v>5954.079999999999</c:v>
                </c:pt>
                <c:pt idx="7">
                  <c:v>6679.5099999999993</c:v>
                </c:pt>
                <c:pt idx="8">
                  <c:v>5856</c:v>
                </c:pt>
                <c:pt idx="9">
                  <c:v>68405</c:v>
                </c:pt>
                <c:pt idx="10">
                  <c:v>208474</c:v>
                </c:pt>
                <c:pt idx="11">
                  <c:v>94293</c:v>
                </c:pt>
                <c:pt idx="12">
                  <c:v>48176</c:v>
                </c:pt>
              </c:numCache>
            </c:numRef>
          </c:val>
          <c:extLst>
            <c:ext xmlns:c16="http://schemas.microsoft.com/office/drawing/2014/chart" uri="{C3380CC4-5D6E-409C-BE32-E72D297353CC}">
              <c16:uniqueId val="{00000001-5D5A-4A1C-8CFA-F4ACBB8CFFAE}"/>
            </c:ext>
          </c:extLst>
        </c:ser>
        <c:ser>
          <c:idx val="0"/>
          <c:order val="2"/>
          <c:tx>
            <c:strRef>
              <c:f>'Generation by financial year'!$A$173</c:f>
              <c:strCache>
                <c:ptCount val="1"/>
                <c:pt idx="0">
                  <c:v>Contaminated soil</c:v>
                </c:pt>
              </c:strCache>
            </c:strRef>
          </c:tx>
          <c:spPr>
            <a:solidFill>
              <a:schemeClr val="bg2">
                <a:lumMod val="25000"/>
              </a:schemeClr>
            </a:solidFill>
            <a:ln>
              <a:noFill/>
            </a:ln>
            <a:effectLst/>
          </c:spPr>
          <c:cat>
            <c:strRef>
              <c:f>'Generation by financial year'!$C$7:$O$7</c:f>
              <c:strCache>
                <c:ptCount val="13"/>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strCache>
            </c:strRef>
          </c:cat>
          <c:val>
            <c:numRef>
              <c:f>'Generation by financial year'!$R$173:$AD$173</c:f>
              <c:numCache>
                <c:formatCode>#,##0</c:formatCode>
                <c:ptCount val="13"/>
                <c:pt idx="0">
                  <c:v>246.98740374167409</c:v>
                </c:pt>
                <c:pt idx="1">
                  <c:v>251.21722753403535</c:v>
                </c:pt>
                <c:pt idx="2">
                  <c:v>256.27184871817718</c:v>
                </c:pt>
                <c:pt idx="3">
                  <c:v>261.20457506654259</c:v>
                </c:pt>
                <c:pt idx="4">
                  <c:v>266.2949618013015</c:v>
                </c:pt>
                <c:pt idx="5">
                  <c:v>271.37950926249022</c:v>
                </c:pt>
                <c:pt idx="6">
                  <c:v>277.35673567071223</c:v>
                </c:pt>
                <c:pt idx="7">
                  <c:v>282.26610492479711</c:v>
                </c:pt>
                <c:pt idx="8">
                  <c:v>598.91999999999996</c:v>
                </c:pt>
                <c:pt idx="9">
                  <c:v>8.870000000000001</c:v>
                </c:pt>
                <c:pt idx="10">
                  <c:v>22.561999999999998</c:v>
                </c:pt>
                <c:pt idx="11">
                  <c:v>787.47799999999995</c:v>
                </c:pt>
                <c:pt idx="12">
                  <c:v>15</c:v>
                </c:pt>
              </c:numCache>
            </c:numRef>
          </c:val>
          <c:extLst>
            <c:ext xmlns:c16="http://schemas.microsoft.com/office/drawing/2014/chart" uri="{C3380CC4-5D6E-409C-BE32-E72D297353CC}">
              <c16:uniqueId val="{00000002-5D5A-4A1C-8CFA-F4ACBB8CFFAE}"/>
            </c:ext>
          </c:extLst>
        </c:ser>
        <c:dLbls>
          <c:showLegendKey val="0"/>
          <c:showVal val="0"/>
          <c:showCatName val="0"/>
          <c:showSerName val="0"/>
          <c:showPercent val="0"/>
          <c:showBubbleSize val="0"/>
        </c:dLbls>
        <c:axId val="1116250744"/>
        <c:axId val="1116248120"/>
      </c:areaChart>
      <c:catAx>
        <c:axId val="11162507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16248120"/>
        <c:crosses val="autoZero"/>
        <c:auto val="1"/>
        <c:lblAlgn val="ctr"/>
        <c:lblOffset val="100"/>
        <c:noMultiLvlLbl val="0"/>
      </c:catAx>
      <c:valAx>
        <c:axId val="111624812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Thousands of tonnes of waste generated</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16250744"/>
        <c:crosses val="autoZero"/>
        <c:crossBetween val="midCat"/>
        <c:dispUnits>
          <c:builtInUnit val="thousands"/>
        </c:dispUnits>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49781277340332"/>
          <c:y val="0.11118749654327205"/>
          <c:w val="0.79081452318460188"/>
          <c:h val="0.75333538712510328"/>
        </c:manualLayout>
      </c:layout>
      <c:areaChart>
        <c:grouping val="stacked"/>
        <c:varyColors val="0"/>
        <c:ser>
          <c:idx val="2"/>
          <c:order val="0"/>
          <c:tx>
            <c:strRef>
              <c:f>'Generation by financial year'!$A$175</c:f>
              <c:strCache>
                <c:ptCount val="1"/>
                <c:pt idx="0">
                  <c:v>Other</c:v>
                </c:pt>
              </c:strCache>
            </c:strRef>
          </c:tx>
          <c:spPr>
            <a:solidFill>
              <a:srgbClr val="FF5050"/>
            </a:solidFill>
            <a:ln>
              <a:noFill/>
            </a:ln>
            <a:effectLst/>
          </c:spPr>
          <c:cat>
            <c:strRef>
              <c:f>'Generation by financial year'!$C$7:$O$7</c:f>
              <c:strCache>
                <c:ptCount val="13"/>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strCache>
            </c:strRef>
          </c:cat>
          <c:val>
            <c:numRef>
              <c:f>'Generation by financial year'!$AG$175:$AS$175</c:f>
              <c:numCache>
                <c:formatCode>#,##0</c:formatCode>
                <c:ptCount val="13"/>
                <c:pt idx="0">
                  <c:v>458713.64748025476</c:v>
                </c:pt>
                <c:pt idx="1">
                  <c:v>444045.7059664363</c:v>
                </c:pt>
                <c:pt idx="2">
                  <c:v>489767.26915767242</c:v>
                </c:pt>
                <c:pt idx="3">
                  <c:v>581092.83720239578</c:v>
                </c:pt>
                <c:pt idx="4">
                  <c:v>449912.6541858532</c:v>
                </c:pt>
                <c:pt idx="5">
                  <c:v>584517.9488791863</c:v>
                </c:pt>
                <c:pt idx="6">
                  <c:v>670609.49516913446</c:v>
                </c:pt>
                <c:pt idx="7">
                  <c:v>711508.05978033948</c:v>
                </c:pt>
                <c:pt idx="8">
                  <c:v>569921.68121658429</c:v>
                </c:pt>
                <c:pt idx="9">
                  <c:v>668225.02108899085</c:v>
                </c:pt>
                <c:pt idx="10">
                  <c:v>677668.99666524865</c:v>
                </c:pt>
                <c:pt idx="11">
                  <c:v>741335.17610750301</c:v>
                </c:pt>
                <c:pt idx="12">
                  <c:v>706174.57807475748</c:v>
                </c:pt>
              </c:numCache>
            </c:numRef>
          </c:val>
          <c:extLst>
            <c:ext xmlns:c16="http://schemas.microsoft.com/office/drawing/2014/chart" uri="{C3380CC4-5D6E-409C-BE32-E72D297353CC}">
              <c16:uniqueId val="{00000000-5F7B-4B7D-9773-BB47A40FD0F5}"/>
            </c:ext>
          </c:extLst>
        </c:ser>
        <c:ser>
          <c:idx val="1"/>
          <c:order val="1"/>
          <c:tx>
            <c:strRef>
              <c:f>'Generation by financial year'!$A$174</c:f>
              <c:strCache>
                <c:ptCount val="1"/>
                <c:pt idx="0">
                  <c:v>Asbestos</c:v>
                </c:pt>
              </c:strCache>
            </c:strRef>
          </c:tx>
          <c:spPr>
            <a:solidFill>
              <a:schemeClr val="bg1">
                <a:lumMod val="65000"/>
              </a:schemeClr>
            </a:solidFill>
            <a:ln>
              <a:noFill/>
            </a:ln>
            <a:effectLst/>
          </c:spPr>
          <c:cat>
            <c:strRef>
              <c:f>'Generation by financial year'!$C$7:$O$7</c:f>
              <c:strCache>
                <c:ptCount val="13"/>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strCache>
            </c:strRef>
          </c:cat>
          <c:val>
            <c:numRef>
              <c:f>'Generation by financial year'!$AG$174:$AS$174</c:f>
              <c:numCache>
                <c:formatCode>#,##0</c:formatCode>
                <c:ptCount val="13"/>
                <c:pt idx="0">
                  <c:v>208186.98795964816</c:v>
                </c:pt>
                <c:pt idx="1">
                  <c:v>211184</c:v>
                </c:pt>
                <c:pt idx="2">
                  <c:v>222299</c:v>
                </c:pt>
                <c:pt idx="3">
                  <c:v>227936</c:v>
                </c:pt>
                <c:pt idx="4">
                  <c:v>194700</c:v>
                </c:pt>
                <c:pt idx="5">
                  <c:v>207300</c:v>
                </c:pt>
                <c:pt idx="6">
                  <c:v>531000</c:v>
                </c:pt>
                <c:pt idx="7">
                  <c:v>420000</c:v>
                </c:pt>
                <c:pt idx="8">
                  <c:v>306465.15619999997</c:v>
                </c:pt>
                <c:pt idx="9">
                  <c:v>508156</c:v>
                </c:pt>
                <c:pt idx="10">
                  <c:v>682444.00971245882</c:v>
                </c:pt>
                <c:pt idx="11">
                  <c:v>1158050.2272319649</c:v>
                </c:pt>
                <c:pt idx="12">
                  <c:v>1318778.7040000001</c:v>
                </c:pt>
              </c:numCache>
            </c:numRef>
          </c:val>
          <c:extLst>
            <c:ext xmlns:c16="http://schemas.microsoft.com/office/drawing/2014/chart" uri="{C3380CC4-5D6E-409C-BE32-E72D297353CC}">
              <c16:uniqueId val="{00000001-5F7B-4B7D-9773-BB47A40FD0F5}"/>
            </c:ext>
          </c:extLst>
        </c:ser>
        <c:ser>
          <c:idx val="0"/>
          <c:order val="2"/>
          <c:tx>
            <c:strRef>
              <c:f>'Generation by financial year'!$A$173</c:f>
              <c:strCache>
                <c:ptCount val="1"/>
                <c:pt idx="0">
                  <c:v>Contaminated soil</c:v>
                </c:pt>
              </c:strCache>
            </c:strRef>
          </c:tx>
          <c:spPr>
            <a:solidFill>
              <a:schemeClr val="bg2">
                <a:lumMod val="25000"/>
              </a:schemeClr>
            </a:solidFill>
            <a:ln>
              <a:noFill/>
            </a:ln>
            <a:effectLst/>
          </c:spPr>
          <c:cat>
            <c:strRef>
              <c:f>'Generation by financial year'!$C$7:$O$7</c:f>
              <c:strCache>
                <c:ptCount val="13"/>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strCache>
            </c:strRef>
          </c:cat>
          <c:val>
            <c:numRef>
              <c:f>'Generation by financial year'!$AG$173:$AS$173</c:f>
              <c:numCache>
                <c:formatCode>#,##0</c:formatCode>
                <c:ptCount val="13"/>
                <c:pt idx="0">
                  <c:v>455345.83867459197</c:v>
                </c:pt>
                <c:pt idx="1">
                  <c:v>461900.89273635863</c:v>
                </c:pt>
                <c:pt idx="2">
                  <c:v>469813.90020374733</c:v>
                </c:pt>
                <c:pt idx="3">
                  <c:v>476505.16562105366</c:v>
                </c:pt>
                <c:pt idx="4">
                  <c:v>481764.8698213945</c:v>
                </c:pt>
                <c:pt idx="5">
                  <c:v>487279.34964586556</c:v>
                </c:pt>
                <c:pt idx="6">
                  <c:v>493738.78736199473</c:v>
                </c:pt>
                <c:pt idx="7">
                  <c:v>555300</c:v>
                </c:pt>
                <c:pt idx="8">
                  <c:v>453629.66700000002</c:v>
                </c:pt>
                <c:pt idx="9">
                  <c:v>613242</c:v>
                </c:pt>
                <c:pt idx="10">
                  <c:v>352783.4824479791</c:v>
                </c:pt>
                <c:pt idx="11">
                  <c:v>697395.99168000009</c:v>
                </c:pt>
                <c:pt idx="12">
                  <c:v>822851.07200000004</c:v>
                </c:pt>
              </c:numCache>
            </c:numRef>
          </c:val>
          <c:extLst>
            <c:ext xmlns:c16="http://schemas.microsoft.com/office/drawing/2014/chart" uri="{C3380CC4-5D6E-409C-BE32-E72D297353CC}">
              <c16:uniqueId val="{00000002-5F7B-4B7D-9773-BB47A40FD0F5}"/>
            </c:ext>
          </c:extLst>
        </c:ser>
        <c:dLbls>
          <c:showLegendKey val="0"/>
          <c:showVal val="0"/>
          <c:showCatName val="0"/>
          <c:showSerName val="0"/>
          <c:showPercent val="0"/>
          <c:showBubbleSize val="0"/>
        </c:dLbls>
        <c:axId val="1116250744"/>
        <c:axId val="1116248120"/>
      </c:areaChart>
      <c:catAx>
        <c:axId val="11162507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16248120"/>
        <c:crosses val="autoZero"/>
        <c:auto val="1"/>
        <c:lblAlgn val="ctr"/>
        <c:lblOffset val="100"/>
        <c:noMultiLvlLbl val="0"/>
      </c:catAx>
      <c:valAx>
        <c:axId val="111624812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Thousands of tonnes of waste generated</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16250744"/>
        <c:crosses val="autoZero"/>
        <c:crossBetween val="midCat"/>
        <c:dispUnits>
          <c:builtInUnit val="thousands"/>
        </c:dispUnits>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49781277340332"/>
          <c:y val="0.11118749654327205"/>
          <c:w val="0.79081452318460188"/>
          <c:h val="0.75333538712510328"/>
        </c:manualLayout>
      </c:layout>
      <c:areaChart>
        <c:grouping val="stacked"/>
        <c:varyColors val="0"/>
        <c:ser>
          <c:idx val="2"/>
          <c:order val="0"/>
          <c:tx>
            <c:strRef>
              <c:f>'Generation by financial year'!$A$175</c:f>
              <c:strCache>
                <c:ptCount val="1"/>
                <c:pt idx="0">
                  <c:v>Other</c:v>
                </c:pt>
              </c:strCache>
            </c:strRef>
          </c:tx>
          <c:spPr>
            <a:solidFill>
              <a:srgbClr val="FF5050"/>
            </a:solidFill>
            <a:ln>
              <a:noFill/>
            </a:ln>
            <a:effectLst/>
          </c:spPr>
          <c:cat>
            <c:strRef>
              <c:f>'Generation by financial year'!$C$7:$O$7</c:f>
              <c:strCache>
                <c:ptCount val="13"/>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strCache>
            </c:strRef>
          </c:cat>
          <c:val>
            <c:numRef>
              <c:f>'Generation by financial year'!$AV$175:$BH$175</c:f>
              <c:numCache>
                <c:formatCode>#,##0</c:formatCode>
                <c:ptCount val="13"/>
                <c:pt idx="0">
                  <c:v>22721.404541115182</c:v>
                </c:pt>
                <c:pt idx="1">
                  <c:v>23323.169843420983</c:v>
                </c:pt>
                <c:pt idx="2">
                  <c:v>23959.281742870404</c:v>
                </c:pt>
                <c:pt idx="3">
                  <c:v>24525.300743446831</c:v>
                </c:pt>
                <c:pt idx="4">
                  <c:v>24796.19741558878</c:v>
                </c:pt>
                <c:pt idx="5">
                  <c:v>25060.849251886451</c:v>
                </c:pt>
                <c:pt idx="6">
                  <c:v>25779.866730647991</c:v>
                </c:pt>
                <c:pt idx="7">
                  <c:v>26171.030327584282</c:v>
                </c:pt>
                <c:pt idx="8">
                  <c:v>18557.074632439093</c:v>
                </c:pt>
                <c:pt idx="9">
                  <c:v>11953.722055261414</c:v>
                </c:pt>
                <c:pt idx="10">
                  <c:v>15571.931891544031</c:v>
                </c:pt>
                <c:pt idx="11">
                  <c:v>14323.947787165143</c:v>
                </c:pt>
                <c:pt idx="12">
                  <c:v>70536.76433000002</c:v>
                </c:pt>
              </c:numCache>
            </c:numRef>
          </c:val>
          <c:extLst>
            <c:ext xmlns:c16="http://schemas.microsoft.com/office/drawing/2014/chart" uri="{C3380CC4-5D6E-409C-BE32-E72D297353CC}">
              <c16:uniqueId val="{00000000-ADF4-4905-A989-99441B76A93F}"/>
            </c:ext>
          </c:extLst>
        </c:ser>
        <c:ser>
          <c:idx val="1"/>
          <c:order val="1"/>
          <c:tx>
            <c:strRef>
              <c:f>'Generation by financial year'!$A$174</c:f>
              <c:strCache>
                <c:ptCount val="1"/>
                <c:pt idx="0">
                  <c:v>Asbestos</c:v>
                </c:pt>
              </c:strCache>
            </c:strRef>
          </c:tx>
          <c:spPr>
            <a:solidFill>
              <a:schemeClr val="bg1">
                <a:lumMod val="65000"/>
              </a:schemeClr>
            </a:solidFill>
            <a:ln>
              <a:noFill/>
            </a:ln>
            <a:effectLst/>
          </c:spPr>
          <c:cat>
            <c:strRef>
              <c:f>'Generation by financial year'!$C$7:$O$7</c:f>
              <c:strCache>
                <c:ptCount val="13"/>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strCache>
            </c:strRef>
          </c:cat>
          <c:val>
            <c:numRef>
              <c:f>'Generation by financial year'!$AV$174:$BH$174</c:f>
              <c:numCache>
                <c:formatCode>#,##0</c:formatCode>
                <c:ptCount val="13"/>
                <c:pt idx="0">
                  <c:v>1579.4245382370787</c:v>
                </c:pt>
                <c:pt idx="1">
                  <c:v>1621.2548257530459</c:v>
                </c:pt>
                <c:pt idx="2">
                  <c:v>1665.4726354943832</c:v>
                </c:pt>
                <c:pt idx="3">
                  <c:v>1704.8181036409994</c:v>
                </c:pt>
                <c:pt idx="4">
                  <c:v>1723.6488431990911</c:v>
                </c:pt>
                <c:pt idx="5">
                  <c:v>1758.1006556357916</c:v>
                </c:pt>
                <c:pt idx="6">
                  <c:v>1801.3759476150087</c:v>
                </c:pt>
                <c:pt idx="7">
                  <c:v>1810.11</c:v>
                </c:pt>
                <c:pt idx="8">
                  <c:v>1999.94</c:v>
                </c:pt>
                <c:pt idx="9">
                  <c:v>5982.08</c:v>
                </c:pt>
                <c:pt idx="10">
                  <c:v>5913</c:v>
                </c:pt>
                <c:pt idx="11">
                  <c:v>5225</c:v>
                </c:pt>
                <c:pt idx="12">
                  <c:v>7117.6900000000005</c:v>
                </c:pt>
              </c:numCache>
            </c:numRef>
          </c:val>
          <c:extLst>
            <c:ext xmlns:c16="http://schemas.microsoft.com/office/drawing/2014/chart" uri="{C3380CC4-5D6E-409C-BE32-E72D297353CC}">
              <c16:uniqueId val="{00000001-ADF4-4905-A989-99441B76A93F}"/>
            </c:ext>
          </c:extLst>
        </c:ser>
        <c:ser>
          <c:idx val="0"/>
          <c:order val="2"/>
          <c:tx>
            <c:strRef>
              <c:f>'Generation by financial year'!$A$173</c:f>
              <c:strCache>
                <c:ptCount val="1"/>
                <c:pt idx="0">
                  <c:v>Contaminated soil</c:v>
                </c:pt>
              </c:strCache>
            </c:strRef>
          </c:tx>
          <c:spPr>
            <a:solidFill>
              <a:schemeClr val="bg2">
                <a:lumMod val="25000"/>
              </a:schemeClr>
            </a:solidFill>
            <a:ln>
              <a:noFill/>
            </a:ln>
            <a:effectLst/>
          </c:spPr>
          <c:cat>
            <c:strRef>
              <c:f>'Generation by financial year'!$C$7:$O$7</c:f>
              <c:strCache>
                <c:ptCount val="13"/>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strCache>
            </c:strRef>
          </c:cat>
          <c:val>
            <c:numRef>
              <c:f>'Generation by financial year'!$AV$173:$BH$173</c:f>
              <c:numCache>
                <c:formatCode>#,##0</c:formatCode>
                <c:ptCount val="13"/>
                <c:pt idx="0">
                  <c:v>6262.1742136811663</c:v>
                </c:pt>
                <c:pt idx="1">
                  <c:v>6428.0248393310258</c:v>
                </c:pt>
                <c:pt idx="2">
                  <c:v>6603.3416216425958</c:v>
                </c:pt>
                <c:pt idx="3">
                  <c:v>6759.3403224909234</c:v>
                </c:pt>
                <c:pt idx="4">
                  <c:v>6834.0012947820396</c:v>
                </c:pt>
                <c:pt idx="5">
                  <c:v>6906.941147680116</c:v>
                </c:pt>
                <c:pt idx="6">
                  <c:v>7105.1072736578872</c:v>
                </c:pt>
                <c:pt idx="7">
                  <c:v>7212.9146315011394</c:v>
                </c:pt>
                <c:pt idx="8">
                  <c:v>12064.803589770108</c:v>
                </c:pt>
                <c:pt idx="9">
                  <c:v>6068.8130961605675</c:v>
                </c:pt>
                <c:pt idx="10">
                  <c:v>8646.16960930192</c:v>
                </c:pt>
                <c:pt idx="11">
                  <c:v>8686.4299295539895</c:v>
                </c:pt>
                <c:pt idx="12">
                  <c:v>622.69000000000005</c:v>
                </c:pt>
              </c:numCache>
            </c:numRef>
          </c:val>
          <c:extLst>
            <c:ext xmlns:c16="http://schemas.microsoft.com/office/drawing/2014/chart" uri="{C3380CC4-5D6E-409C-BE32-E72D297353CC}">
              <c16:uniqueId val="{00000002-ADF4-4905-A989-99441B76A93F}"/>
            </c:ext>
          </c:extLst>
        </c:ser>
        <c:dLbls>
          <c:showLegendKey val="0"/>
          <c:showVal val="0"/>
          <c:showCatName val="0"/>
          <c:showSerName val="0"/>
          <c:showPercent val="0"/>
          <c:showBubbleSize val="0"/>
        </c:dLbls>
        <c:axId val="1116250744"/>
        <c:axId val="1116248120"/>
      </c:areaChart>
      <c:catAx>
        <c:axId val="11162507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16248120"/>
        <c:crosses val="autoZero"/>
        <c:auto val="1"/>
        <c:lblAlgn val="ctr"/>
        <c:lblOffset val="100"/>
        <c:noMultiLvlLbl val="0"/>
      </c:catAx>
      <c:valAx>
        <c:axId val="111624812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Thousands of tonnes of waste generated</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16250744"/>
        <c:crosses val="autoZero"/>
        <c:crossBetween val="midCat"/>
        <c:dispUnits>
          <c:builtInUnit val="thousands"/>
        </c:dispUnits>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49781277340332"/>
          <c:y val="0.11118749654327205"/>
          <c:w val="0.79081452318460188"/>
          <c:h val="0.75333538712510328"/>
        </c:manualLayout>
      </c:layout>
      <c:areaChart>
        <c:grouping val="stacked"/>
        <c:varyColors val="0"/>
        <c:ser>
          <c:idx val="2"/>
          <c:order val="0"/>
          <c:tx>
            <c:strRef>
              <c:f>'Generation by financial year'!$A$175</c:f>
              <c:strCache>
                <c:ptCount val="1"/>
                <c:pt idx="0">
                  <c:v>Other</c:v>
                </c:pt>
              </c:strCache>
            </c:strRef>
          </c:tx>
          <c:spPr>
            <a:solidFill>
              <a:srgbClr val="FF5050"/>
            </a:solidFill>
            <a:ln>
              <a:noFill/>
            </a:ln>
            <a:effectLst/>
          </c:spPr>
          <c:cat>
            <c:strRef>
              <c:f>'Generation by financial year'!$C$7:$O$7</c:f>
              <c:strCache>
                <c:ptCount val="13"/>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strCache>
            </c:strRef>
          </c:cat>
          <c:val>
            <c:numRef>
              <c:f>'Generation by financial year'!$BK$175:$BW$175</c:f>
              <c:numCache>
                <c:formatCode>#,##0</c:formatCode>
                <c:ptCount val="13"/>
                <c:pt idx="0">
                  <c:v>737504.63804626872</c:v>
                </c:pt>
                <c:pt idx="1">
                  <c:v>766504.39390065381</c:v>
                </c:pt>
                <c:pt idx="2">
                  <c:v>624902.62721203966</c:v>
                </c:pt>
                <c:pt idx="3">
                  <c:v>728652.675536733</c:v>
                </c:pt>
                <c:pt idx="4">
                  <c:v>874615.79710280523</c:v>
                </c:pt>
                <c:pt idx="5">
                  <c:v>843114.24004474934</c:v>
                </c:pt>
                <c:pt idx="6">
                  <c:v>1152029.5313428738</c:v>
                </c:pt>
                <c:pt idx="7">
                  <c:v>1222661.7224194312</c:v>
                </c:pt>
                <c:pt idx="8">
                  <c:v>1158184.4919768728</c:v>
                </c:pt>
                <c:pt idx="9">
                  <c:v>768227.07175195357</c:v>
                </c:pt>
                <c:pt idx="10">
                  <c:v>839808.56492020586</c:v>
                </c:pt>
                <c:pt idx="11">
                  <c:v>919630.92468529008</c:v>
                </c:pt>
                <c:pt idx="12">
                  <c:v>971795.72527083056</c:v>
                </c:pt>
              </c:numCache>
            </c:numRef>
          </c:val>
          <c:extLst>
            <c:ext xmlns:c16="http://schemas.microsoft.com/office/drawing/2014/chart" uri="{C3380CC4-5D6E-409C-BE32-E72D297353CC}">
              <c16:uniqueId val="{00000000-EC7E-4ED6-A322-688FA02130E1}"/>
            </c:ext>
          </c:extLst>
        </c:ser>
        <c:ser>
          <c:idx val="1"/>
          <c:order val="1"/>
          <c:tx>
            <c:strRef>
              <c:f>'Generation by financial year'!$A$174</c:f>
              <c:strCache>
                <c:ptCount val="1"/>
                <c:pt idx="0">
                  <c:v>Asbestos</c:v>
                </c:pt>
              </c:strCache>
            </c:strRef>
          </c:tx>
          <c:spPr>
            <a:solidFill>
              <a:schemeClr val="bg1">
                <a:lumMod val="65000"/>
              </a:schemeClr>
            </a:solidFill>
            <a:ln>
              <a:noFill/>
            </a:ln>
            <a:effectLst/>
          </c:spPr>
          <c:cat>
            <c:strRef>
              <c:f>'Generation by financial year'!$C$7:$O$7</c:f>
              <c:strCache>
                <c:ptCount val="13"/>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strCache>
            </c:strRef>
          </c:cat>
          <c:val>
            <c:numRef>
              <c:f>'Generation by financial year'!$BK$174:$BW$174</c:f>
              <c:numCache>
                <c:formatCode>#,##0</c:formatCode>
                <c:ptCount val="13"/>
                <c:pt idx="0">
                  <c:v>49846.684000000001</c:v>
                </c:pt>
                <c:pt idx="1">
                  <c:v>44771.517</c:v>
                </c:pt>
                <c:pt idx="2">
                  <c:v>48577.125</c:v>
                </c:pt>
                <c:pt idx="3">
                  <c:v>67597.585999999996</c:v>
                </c:pt>
                <c:pt idx="4">
                  <c:v>87834.013999999996</c:v>
                </c:pt>
                <c:pt idx="5">
                  <c:v>101047.52</c:v>
                </c:pt>
                <c:pt idx="6">
                  <c:v>113345.20699999999</c:v>
                </c:pt>
                <c:pt idx="7">
                  <c:v>120728.49771999917</c:v>
                </c:pt>
                <c:pt idx="8">
                  <c:v>150301.82024999982</c:v>
                </c:pt>
                <c:pt idx="9">
                  <c:v>145101.52556999982</c:v>
                </c:pt>
                <c:pt idx="10">
                  <c:v>152968.72197387955</c:v>
                </c:pt>
                <c:pt idx="11">
                  <c:v>150036.20125506361</c:v>
                </c:pt>
                <c:pt idx="12">
                  <c:v>136667.96377404567</c:v>
                </c:pt>
              </c:numCache>
            </c:numRef>
          </c:val>
          <c:extLst>
            <c:ext xmlns:c16="http://schemas.microsoft.com/office/drawing/2014/chart" uri="{C3380CC4-5D6E-409C-BE32-E72D297353CC}">
              <c16:uniqueId val="{00000001-EC7E-4ED6-A322-688FA02130E1}"/>
            </c:ext>
          </c:extLst>
        </c:ser>
        <c:ser>
          <c:idx val="0"/>
          <c:order val="2"/>
          <c:tx>
            <c:strRef>
              <c:f>'Generation by financial year'!$A$173</c:f>
              <c:strCache>
                <c:ptCount val="1"/>
                <c:pt idx="0">
                  <c:v>Contaminated soil</c:v>
                </c:pt>
              </c:strCache>
            </c:strRef>
          </c:tx>
          <c:spPr>
            <a:solidFill>
              <a:schemeClr val="bg2">
                <a:lumMod val="25000"/>
              </a:schemeClr>
            </a:solidFill>
            <a:ln>
              <a:noFill/>
            </a:ln>
            <a:effectLst/>
          </c:spPr>
          <c:cat>
            <c:strRef>
              <c:f>'Generation by financial year'!$C$7:$O$7</c:f>
              <c:strCache>
                <c:ptCount val="13"/>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strCache>
            </c:strRef>
          </c:cat>
          <c:val>
            <c:numRef>
              <c:f>'Generation by financial year'!$BK$173:$BW$173</c:f>
              <c:numCache>
                <c:formatCode>#,##0</c:formatCode>
                <c:ptCount val="13"/>
                <c:pt idx="0">
                  <c:v>693604.23272666661</c:v>
                </c:pt>
                <c:pt idx="1">
                  <c:v>1508000</c:v>
                </c:pt>
                <c:pt idx="2">
                  <c:v>712729</c:v>
                </c:pt>
                <c:pt idx="3">
                  <c:v>543803</c:v>
                </c:pt>
                <c:pt idx="4">
                  <c:v>428076</c:v>
                </c:pt>
                <c:pt idx="5">
                  <c:v>238564</c:v>
                </c:pt>
                <c:pt idx="6">
                  <c:v>327585</c:v>
                </c:pt>
                <c:pt idx="7">
                  <c:v>708379</c:v>
                </c:pt>
                <c:pt idx="8">
                  <c:v>418738.913</c:v>
                </c:pt>
                <c:pt idx="9">
                  <c:v>573594</c:v>
                </c:pt>
                <c:pt idx="10">
                  <c:v>1047257</c:v>
                </c:pt>
                <c:pt idx="11">
                  <c:v>988781.29171999986</c:v>
                </c:pt>
                <c:pt idx="12">
                  <c:v>827743.58799999999</c:v>
                </c:pt>
              </c:numCache>
            </c:numRef>
          </c:val>
          <c:extLst>
            <c:ext xmlns:c16="http://schemas.microsoft.com/office/drawing/2014/chart" uri="{C3380CC4-5D6E-409C-BE32-E72D297353CC}">
              <c16:uniqueId val="{00000002-EC7E-4ED6-A322-688FA02130E1}"/>
            </c:ext>
          </c:extLst>
        </c:ser>
        <c:dLbls>
          <c:showLegendKey val="0"/>
          <c:showVal val="0"/>
          <c:showCatName val="0"/>
          <c:showSerName val="0"/>
          <c:showPercent val="0"/>
          <c:showBubbleSize val="0"/>
        </c:dLbls>
        <c:axId val="1116250744"/>
        <c:axId val="1116248120"/>
      </c:areaChart>
      <c:catAx>
        <c:axId val="11162507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16248120"/>
        <c:crosses val="autoZero"/>
        <c:auto val="1"/>
        <c:lblAlgn val="ctr"/>
        <c:lblOffset val="100"/>
        <c:noMultiLvlLbl val="0"/>
      </c:catAx>
      <c:valAx>
        <c:axId val="111624812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Thousands of tonnes of waste generated</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16250744"/>
        <c:crosses val="autoZero"/>
        <c:crossBetween val="midCat"/>
        <c:dispUnits>
          <c:builtInUnit val="thousands"/>
        </c:dispUnits>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49781277340332"/>
          <c:y val="0.11118749654327205"/>
          <c:w val="0.79081452318460188"/>
          <c:h val="0.75333538712510328"/>
        </c:manualLayout>
      </c:layout>
      <c:areaChart>
        <c:grouping val="stacked"/>
        <c:varyColors val="0"/>
        <c:ser>
          <c:idx val="2"/>
          <c:order val="0"/>
          <c:tx>
            <c:strRef>
              <c:f>'Generation by financial year'!$A$175</c:f>
              <c:strCache>
                <c:ptCount val="1"/>
                <c:pt idx="0">
                  <c:v>Other</c:v>
                </c:pt>
              </c:strCache>
            </c:strRef>
          </c:tx>
          <c:spPr>
            <a:solidFill>
              <a:srgbClr val="FF5050"/>
            </a:solidFill>
            <a:ln>
              <a:noFill/>
            </a:ln>
            <a:effectLst/>
          </c:spPr>
          <c:cat>
            <c:strRef>
              <c:f>'Generation by financial year'!$C$7:$O$7</c:f>
              <c:strCache>
                <c:ptCount val="13"/>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strCache>
            </c:strRef>
          </c:cat>
          <c:val>
            <c:numRef>
              <c:f>'Generation by financial year'!$BZ$175:$CL$175</c:f>
              <c:numCache>
                <c:formatCode>#,##0</c:formatCode>
                <c:ptCount val="13"/>
                <c:pt idx="0">
                  <c:v>144116.01325831562</c:v>
                </c:pt>
                <c:pt idx="1">
                  <c:v>144281.50295965915</c:v>
                </c:pt>
                <c:pt idx="2">
                  <c:v>141179.32450899092</c:v>
                </c:pt>
                <c:pt idx="3">
                  <c:v>169993.80649283994</c:v>
                </c:pt>
                <c:pt idx="4">
                  <c:v>247979.37263389686</c:v>
                </c:pt>
                <c:pt idx="5">
                  <c:v>415837.75653145899</c:v>
                </c:pt>
                <c:pt idx="6">
                  <c:v>268406.92328476656</c:v>
                </c:pt>
                <c:pt idx="7">
                  <c:v>152673.69999902989</c:v>
                </c:pt>
                <c:pt idx="8">
                  <c:v>254175.50945243594</c:v>
                </c:pt>
                <c:pt idx="9">
                  <c:v>190215.26819694336</c:v>
                </c:pt>
                <c:pt idx="10">
                  <c:v>221250.91857726761</c:v>
                </c:pt>
                <c:pt idx="11">
                  <c:v>203689.65111304476</c:v>
                </c:pt>
                <c:pt idx="12">
                  <c:v>183215.34856431332</c:v>
                </c:pt>
              </c:numCache>
            </c:numRef>
          </c:val>
          <c:extLst>
            <c:ext xmlns:c16="http://schemas.microsoft.com/office/drawing/2014/chart" uri="{C3380CC4-5D6E-409C-BE32-E72D297353CC}">
              <c16:uniqueId val="{00000000-BDB6-4937-8567-6D1F6D1676FB}"/>
            </c:ext>
          </c:extLst>
        </c:ser>
        <c:ser>
          <c:idx val="1"/>
          <c:order val="1"/>
          <c:tx>
            <c:strRef>
              <c:f>'Generation by financial year'!$A$174</c:f>
              <c:strCache>
                <c:ptCount val="1"/>
                <c:pt idx="0">
                  <c:v>Asbestos</c:v>
                </c:pt>
              </c:strCache>
            </c:strRef>
          </c:tx>
          <c:spPr>
            <a:solidFill>
              <a:schemeClr val="bg1">
                <a:lumMod val="65000"/>
              </a:schemeClr>
            </a:solidFill>
            <a:ln>
              <a:noFill/>
            </a:ln>
            <a:effectLst/>
          </c:spPr>
          <c:cat>
            <c:strRef>
              <c:f>'Generation by financial year'!$C$7:$O$7</c:f>
              <c:strCache>
                <c:ptCount val="13"/>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strCache>
            </c:strRef>
          </c:cat>
          <c:val>
            <c:numRef>
              <c:f>'Generation by financial year'!$BZ$174:$CL$174</c:f>
              <c:numCache>
                <c:formatCode>#,##0</c:formatCode>
                <c:ptCount val="13"/>
                <c:pt idx="0">
                  <c:v>11757.099999999999</c:v>
                </c:pt>
                <c:pt idx="1">
                  <c:v>17601.5</c:v>
                </c:pt>
                <c:pt idx="2">
                  <c:v>7797.58</c:v>
                </c:pt>
                <c:pt idx="3">
                  <c:v>5915.73</c:v>
                </c:pt>
                <c:pt idx="4">
                  <c:v>21084.879999999997</c:v>
                </c:pt>
                <c:pt idx="5">
                  <c:v>22828.489999999998</c:v>
                </c:pt>
                <c:pt idx="6">
                  <c:v>20128.580000000002</c:v>
                </c:pt>
                <c:pt idx="7">
                  <c:v>15991.280000000002</c:v>
                </c:pt>
                <c:pt idx="8">
                  <c:v>14517</c:v>
                </c:pt>
                <c:pt idx="9">
                  <c:v>9224</c:v>
                </c:pt>
                <c:pt idx="10">
                  <c:v>11770</c:v>
                </c:pt>
                <c:pt idx="11">
                  <c:v>17302</c:v>
                </c:pt>
                <c:pt idx="12">
                  <c:v>42987.31294999989</c:v>
                </c:pt>
              </c:numCache>
            </c:numRef>
          </c:val>
          <c:extLst>
            <c:ext xmlns:c16="http://schemas.microsoft.com/office/drawing/2014/chart" uri="{C3380CC4-5D6E-409C-BE32-E72D297353CC}">
              <c16:uniqueId val="{00000001-BDB6-4937-8567-6D1F6D1676FB}"/>
            </c:ext>
          </c:extLst>
        </c:ser>
        <c:ser>
          <c:idx val="0"/>
          <c:order val="2"/>
          <c:tx>
            <c:strRef>
              <c:f>'Generation by financial year'!$A$173</c:f>
              <c:strCache>
                <c:ptCount val="1"/>
                <c:pt idx="0">
                  <c:v>Contaminated soil</c:v>
                </c:pt>
              </c:strCache>
            </c:strRef>
          </c:tx>
          <c:spPr>
            <a:solidFill>
              <a:schemeClr val="bg2">
                <a:lumMod val="25000"/>
              </a:schemeClr>
            </a:solidFill>
            <a:ln>
              <a:noFill/>
            </a:ln>
            <a:effectLst/>
          </c:spPr>
          <c:cat>
            <c:strRef>
              <c:f>'Generation by financial year'!$C$7:$O$7</c:f>
              <c:strCache>
                <c:ptCount val="13"/>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strCache>
            </c:strRef>
          </c:cat>
          <c:val>
            <c:numRef>
              <c:f>'Generation by financial year'!$BZ$173:$CL$173</c:f>
              <c:numCache>
                <c:formatCode>#,##0</c:formatCode>
                <c:ptCount val="13"/>
                <c:pt idx="0">
                  <c:v>29853.73</c:v>
                </c:pt>
                <c:pt idx="1">
                  <c:v>188350.77999999997</c:v>
                </c:pt>
                <c:pt idx="2">
                  <c:v>41506.86</c:v>
                </c:pt>
                <c:pt idx="3">
                  <c:v>56466.409999999996</c:v>
                </c:pt>
                <c:pt idx="4">
                  <c:v>202655.41</c:v>
                </c:pt>
                <c:pt idx="5">
                  <c:v>427945.96</c:v>
                </c:pt>
                <c:pt idx="6">
                  <c:v>257835.39</c:v>
                </c:pt>
                <c:pt idx="7">
                  <c:v>145386.85999999999</c:v>
                </c:pt>
                <c:pt idx="8">
                  <c:v>206303.05315389636</c:v>
                </c:pt>
                <c:pt idx="9">
                  <c:v>158835.50384000011</c:v>
                </c:pt>
                <c:pt idx="10">
                  <c:v>227582.18512999971</c:v>
                </c:pt>
                <c:pt idx="11">
                  <c:v>361540.4748199996</c:v>
                </c:pt>
                <c:pt idx="12">
                  <c:v>223197.90492999999</c:v>
                </c:pt>
              </c:numCache>
            </c:numRef>
          </c:val>
          <c:extLst>
            <c:ext xmlns:c16="http://schemas.microsoft.com/office/drawing/2014/chart" uri="{C3380CC4-5D6E-409C-BE32-E72D297353CC}">
              <c16:uniqueId val="{00000002-BDB6-4937-8567-6D1F6D1676FB}"/>
            </c:ext>
          </c:extLst>
        </c:ser>
        <c:dLbls>
          <c:showLegendKey val="0"/>
          <c:showVal val="0"/>
          <c:showCatName val="0"/>
          <c:showSerName val="0"/>
          <c:showPercent val="0"/>
          <c:showBubbleSize val="0"/>
        </c:dLbls>
        <c:axId val="1116250744"/>
        <c:axId val="1116248120"/>
      </c:areaChart>
      <c:catAx>
        <c:axId val="11162507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16248120"/>
        <c:crosses val="autoZero"/>
        <c:auto val="1"/>
        <c:lblAlgn val="ctr"/>
        <c:lblOffset val="100"/>
        <c:noMultiLvlLbl val="0"/>
      </c:catAx>
      <c:valAx>
        <c:axId val="111624812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Thousands of tonnes of waste generated</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16250744"/>
        <c:crosses val="autoZero"/>
        <c:crossBetween val="midCat"/>
        <c:dispUnits>
          <c:builtInUnit val="thousands"/>
        </c:dispUnits>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49781277340332"/>
          <c:y val="0.11118749654327205"/>
          <c:w val="0.79081452318460188"/>
          <c:h val="0.75333538712510328"/>
        </c:manualLayout>
      </c:layout>
      <c:areaChart>
        <c:grouping val="stacked"/>
        <c:varyColors val="0"/>
        <c:ser>
          <c:idx val="2"/>
          <c:order val="0"/>
          <c:tx>
            <c:strRef>
              <c:f>'Generation by financial year'!$A$175</c:f>
              <c:strCache>
                <c:ptCount val="1"/>
                <c:pt idx="0">
                  <c:v>Other</c:v>
                </c:pt>
              </c:strCache>
            </c:strRef>
          </c:tx>
          <c:spPr>
            <a:solidFill>
              <a:srgbClr val="FF5050"/>
            </a:solidFill>
            <a:ln>
              <a:noFill/>
            </a:ln>
            <a:effectLst/>
          </c:spPr>
          <c:cat>
            <c:strRef>
              <c:f>'Generation by financial year'!$C$7:$O$7</c:f>
              <c:strCache>
                <c:ptCount val="13"/>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strCache>
            </c:strRef>
          </c:cat>
          <c:val>
            <c:numRef>
              <c:f>'Generation by financial year'!$CO$175:$DA$175</c:f>
              <c:numCache>
                <c:formatCode>#,##0</c:formatCode>
                <c:ptCount val="13"/>
                <c:pt idx="0">
                  <c:v>261363.2630921847</c:v>
                </c:pt>
                <c:pt idx="1">
                  <c:v>263649.08607212582</c:v>
                </c:pt>
                <c:pt idx="2">
                  <c:v>266761.17439919786</c:v>
                </c:pt>
                <c:pt idx="3">
                  <c:v>269075.24224920495</c:v>
                </c:pt>
                <c:pt idx="4">
                  <c:v>271084.16927765217</c:v>
                </c:pt>
                <c:pt idx="5">
                  <c:v>271930.63417149527</c:v>
                </c:pt>
                <c:pt idx="6">
                  <c:v>271704.52227789973</c:v>
                </c:pt>
                <c:pt idx="7">
                  <c:v>272267.66053588444</c:v>
                </c:pt>
                <c:pt idx="8">
                  <c:v>294767.09494952613</c:v>
                </c:pt>
                <c:pt idx="9">
                  <c:v>377072.48204125901</c:v>
                </c:pt>
                <c:pt idx="10">
                  <c:v>150478.13613041883</c:v>
                </c:pt>
                <c:pt idx="11">
                  <c:v>236968.8709642071</c:v>
                </c:pt>
                <c:pt idx="12">
                  <c:v>402970.59225771966</c:v>
                </c:pt>
              </c:numCache>
            </c:numRef>
          </c:val>
          <c:extLst>
            <c:ext xmlns:c16="http://schemas.microsoft.com/office/drawing/2014/chart" uri="{C3380CC4-5D6E-409C-BE32-E72D297353CC}">
              <c16:uniqueId val="{00000000-5249-42D0-B5E3-587DC6A958B6}"/>
            </c:ext>
          </c:extLst>
        </c:ser>
        <c:ser>
          <c:idx val="1"/>
          <c:order val="1"/>
          <c:tx>
            <c:strRef>
              <c:f>'Generation by financial year'!$A$174</c:f>
              <c:strCache>
                <c:ptCount val="1"/>
                <c:pt idx="0">
                  <c:v>Asbestos</c:v>
                </c:pt>
              </c:strCache>
            </c:strRef>
          </c:tx>
          <c:spPr>
            <a:solidFill>
              <a:schemeClr val="bg1">
                <a:lumMod val="65000"/>
              </a:schemeClr>
            </a:solidFill>
            <a:ln>
              <a:noFill/>
            </a:ln>
            <a:effectLst/>
          </c:spPr>
          <c:cat>
            <c:strRef>
              <c:f>'Generation by financial year'!$C$7:$O$7</c:f>
              <c:strCache>
                <c:ptCount val="13"/>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strCache>
            </c:strRef>
          </c:cat>
          <c:val>
            <c:numRef>
              <c:f>'Generation by financial year'!$CO$174:$DA$174</c:f>
              <c:numCache>
                <c:formatCode>#,##0</c:formatCode>
                <c:ptCount val="13"/>
                <c:pt idx="0">
                  <c:v>1587.96</c:v>
                </c:pt>
                <c:pt idx="1">
                  <c:v>1009.481</c:v>
                </c:pt>
                <c:pt idx="2">
                  <c:v>2022.6079999999999</c:v>
                </c:pt>
                <c:pt idx="3">
                  <c:v>331.64</c:v>
                </c:pt>
                <c:pt idx="4">
                  <c:v>170.91</c:v>
                </c:pt>
                <c:pt idx="5">
                  <c:v>14916.508244482304</c:v>
                </c:pt>
                <c:pt idx="6">
                  <c:v>14931.287050401026</c:v>
                </c:pt>
                <c:pt idx="7">
                  <c:v>14971.804881223559</c:v>
                </c:pt>
                <c:pt idx="8">
                  <c:v>15015.412561015295</c:v>
                </c:pt>
                <c:pt idx="9">
                  <c:v>15085.283957045232</c:v>
                </c:pt>
                <c:pt idx="10">
                  <c:v>15228</c:v>
                </c:pt>
                <c:pt idx="11">
                  <c:v>5058.79</c:v>
                </c:pt>
                <c:pt idx="12">
                  <c:v>3259.3049999999998</c:v>
                </c:pt>
              </c:numCache>
            </c:numRef>
          </c:val>
          <c:extLst>
            <c:ext xmlns:c16="http://schemas.microsoft.com/office/drawing/2014/chart" uri="{C3380CC4-5D6E-409C-BE32-E72D297353CC}">
              <c16:uniqueId val="{00000001-5249-42D0-B5E3-587DC6A958B6}"/>
            </c:ext>
          </c:extLst>
        </c:ser>
        <c:ser>
          <c:idx val="0"/>
          <c:order val="2"/>
          <c:tx>
            <c:strRef>
              <c:f>'Generation by financial year'!$A$173</c:f>
              <c:strCache>
                <c:ptCount val="1"/>
                <c:pt idx="0">
                  <c:v>Contaminated soil</c:v>
                </c:pt>
              </c:strCache>
            </c:strRef>
          </c:tx>
          <c:spPr>
            <a:solidFill>
              <a:schemeClr val="bg2">
                <a:lumMod val="25000"/>
              </a:schemeClr>
            </a:solidFill>
            <a:ln>
              <a:noFill/>
            </a:ln>
            <a:effectLst/>
          </c:spPr>
          <c:cat>
            <c:strRef>
              <c:f>'Generation by financial year'!$C$7:$O$7</c:f>
              <c:strCache>
                <c:ptCount val="13"/>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strCache>
            </c:strRef>
          </c:cat>
          <c:val>
            <c:numRef>
              <c:f>'Generation by financial year'!$CO$173:$DA$173</c:f>
              <c:numCache>
                <c:formatCode>#,##0</c:formatCode>
                <c:ptCount val="13"/>
                <c:pt idx="0">
                  <c:v>5379.7733723464644</c:v>
                </c:pt>
                <c:pt idx="1">
                  <c:v>5427.3087593765677</c:v>
                </c:pt>
                <c:pt idx="2">
                  <c:v>5492.0610848819988</c:v>
                </c:pt>
                <c:pt idx="3">
                  <c:v>5543.3616510828015</c:v>
                </c:pt>
                <c:pt idx="4">
                  <c:v>5584.4940444650538</c:v>
                </c:pt>
                <c:pt idx="5">
                  <c:v>5602.236356778154</c:v>
                </c:pt>
                <c:pt idx="6">
                  <c:v>5605.0274052913201</c:v>
                </c:pt>
                <c:pt idx="7">
                  <c:v>5617.5925962447063</c:v>
                </c:pt>
                <c:pt idx="8">
                  <c:v>5629.3149999999996</c:v>
                </c:pt>
                <c:pt idx="9">
                  <c:v>4578.5600000000004</c:v>
                </c:pt>
                <c:pt idx="10">
                  <c:v>9773.16</c:v>
                </c:pt>
                <c:pt idx="11">
                  <c:v>12711.32</c:v>
                </c:pt>
                <c:pt idx="12">
                  <c:v>36845</c:v>
                </c:pt>
              </c:numCache>
            </c:numRef>
          </c:val>
          <c:extLst>
            <c:ext xmlns:c16="http://schemas.microsoft.com/office/drawing/2014/chart" uri="{C3380CC4-5D6E-409C-BE32-E72D297353CC}">
              <c16:uniqueId val="{00000002-5249-42D0-B5E3-587DC6A958B6}"/>
            </c:ext>
          </c:extLst>
        </c:ser>
        <c:dLbls>
          <c:showLegendKey val="0"/>
          <c:showVal val="0"/>
          <c:showCatName val="0"/>
          <c:showSerName val="0"/>
          <c:showPercent val="0"/>
          <c:showBubbleSize val="0"/>
        </c:dLbls>
        <c:axId val="1116250744"/>
        <c:axId val="1116248120"/>
      </c:areaChart>
      <c:catAx>
        <c:axId val="11162507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16248120"/>
        <c:crosses val="autoZero"/>
        <c:auto val="1"/>
        <c:lblAlgn val="ctr"/>
        <c:lblOffset val="100"/>
        <c:noMultiLvlLbl val="0"/>
      </c:catAx>
      <c:valAx>
        <c:axId val="111624812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Thousands of tonnes of waste generated</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16250744"/>
        <c:crosses val="autoZero"/>
        <c:crossBetween val="midCat"/>
        <c:dispUnits>
          <c:builtInUnit val="thousands"/>
        </c:dispUnits>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49781277340332"/>
          <c:y val="0.11118749654327205"/>
          <c:w val="0.79081452318460188"/>
          <c:h val="0.75333538712510328"/>
        </c:manualLayout>
      </c:layout>
      <c:areaChart>
        <c:grouping val="stacked"/>
        <c:varyColors val="0"/>
        <c:ser>
          <c:idx val="2"/>
          <c:order val="0"/>
          <c:tx>
            <c:strRef>
              <c:f>'Generation by financial year'!$A$175</c:f>
              <c:strCache>
                <c:ptCount val="1"/>
                <c:pt idx="0">
                  <c:v>Other</c:v>
                </c:pt>
              </c:strCache>
            </c:strRef>
          </c:tx>
          <c:spPr>
            <a:solidFill>
              <a:srgbClr val="FF5050"/>
            </a:solidFill>
            <a:ln>
              <a:noFill/>
            </a:ln>
            <a:effectLst/>
          </c:spPr>
          <c:cat>
            <c:strRef>
              <c:f>'Generation by financial year'!$C$7:$O$7</c:f>
              <c:strCache>
                <c:ptCount val="13"/>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strCache>
            </c:strRef>
          </c:cat>
          <c:val>
            <c:numRef>
              <c:f>'Generation by financial year'!$DD$175:$DP$175</c:f>
              <c:numCache>
                <c:formatCode>#,##0</c:formatCode>
                <c:ptCount val="13"/>
                <c:pt idx="0">
                  <c:v>640982.43381950771</c:v>
                </c:pt>
                <c:pt idx="1">
                  <c:v>640320.58337548003</c:v>
                </c:pt>
                <c:pt idx="2">
                  <c:v>632562.19913437497</c:v>
                </c:pt>
                <c:pt idx="3">
                  <c:v>627617.15241431305</c:v>
                </c:pt>
                <c:pt idx="4">
                  <c:v>619326.99243257765</c:v>
                </c:pt>
                <c:pt idx="5">
                  <c:v>604769.49559402373</c:v>
                </c:pt>
                <c:pt idx="6">
                  <c:v>699795.63444731175</c:v>
                </c:pt>
                <c:pt idx="7">
                  <c:v>552308.34599492257</c:v>
                </c:pt>
                <c:pt idx="8">
                  <c:v>512550.67632078752</c:v>
                </c:pt>
                <c:pt idx="9">
                  <c:v>555908.78315182077</c:v>
                </c:pt>
                <c:pt idx="10">
                  <c:v>664506.01941525412</c:v>
                </c:pt>
                <c:pt idx="11">
                  <c:v>584090.94982319046</c:v>
                </c:pt>
                <c:pt idx="12">
                  <c:v>592415.96016292495</c:v>
                </c:pt>
              </c:numCache>
            </c:numRef>
          </c:val>
          <c:extLst>
            <c:ext xmlns:c16="http://schemas.microsoft.com/office/drawing/2014/chart" uri="{C3380CC4-5D6E-409C-BE32-E72D297353CC}">
              <c16:uniqueId val="{00000000-BA41-4C53-BB6E-F095B9E4606D}"/>
            </c:ext>
          </c:extLst>
        </c:ser>
        <c:ser>
          <c:idx val="1"/>
          <c:order val="1"/>
          <c:tx>
            <c:strRef>
              <c:f>'Generation by financial year'!$A$174</c:f>
              <c:strCache>
                <c:ptCount val="1"/>
                <c:pt idx="0">
                  <c:v>Asbestos</c:v>
                </c:pt>
              </c:strCache>
            </c:strRef>
          </c:tx>
          <c:spPr>
            <a:solidFill>
              <a:schemeClr val="bg1">
                <a:lumMod val="65000"/>
              </a:schemeClr>
            </a:solidFill>
            <a:ln>
              <a:noFill/>
            </a:ln>
            <a:effectLst/>
          </c:spPr>
          <c:cat>
            <c:strRef>
              <c:f>'Generation by financial year'!$C$7:$O$7</c:f>
              <c:strCache>
                <c:ptCount val="13"/>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strCache>
            </c:strRef>
          </c:cat>
          <c:val>
            <c:numRef>
              <c:f>'Generation by financial year'!$DD$174:$DP$174</c:f>
              <c:numCache>
                <c:formatCode>#,##0</c:formatCode>
                <c:ptCount val="13"/>
                <c:pt idx="0">
                  <c:v>42099</c:v>
                </c:pt>
                <c:pt idx="1">
                  <c:v>35768</c:v>
                </c:pt>
                <c:pt idx="2">
                  <c:v>32882</c:v>
                </c:pt>
                <c:pt idx="3">
                  <c:v>50543</c:v>
                </c:pt>
                <c:pt idx="4">
                  <c:v>42515</c:v>
                </c:pt>
                <c:pt idx="5">
                  <c:v>61050</c:v>
                </c:pt>
                <c:pt idx="6">
                  <c:v>65656</c:v>
                </c:pt>
                <c:pt idx="7">
                  <c:v>74046</c:v>
                </c:pt>
                <c:pt idx="8">
                  <c:v>80078</c:v>
                </c:pt>
                <c:pt idx="9">
                  <c:v>101636</c:v>
                </c:pt>
                <c:pt idx="10">
                  <c:v>118625.83999999841</c:v>
                </c:pt>
                <c:pt idx="11">
                  <c:v>154520</c:v>
                </c:pt>
                <c:pt idx="12">
                  <c:v>102842.18505999989</c:v>
                </c:pt>
              </c:numCache>
            </c:numRef>
          </c:val>
          <c:extLst>
            <c:ext xmlns:c16="http://schemas.microsoft.com/office/drawing/2014/chart" uri="{C3380CC4-5D6E-409C-BE32-E72D297353CC}">
              <c16:uniqueId val="{00000001-BA41-4C53-BB6E-F095B9E4606D}"/>
            </c:ext>
          </c:extLst>
        </c:ser>
        <c:ser>
          <c:idx val="0"/>
          <c:order val="2"/>
          <c:tx>
            <c:strRef>
              <c:f>'Generation by financial year'!$A$173</c:f>
              <c:strCache>
                <c:ptCount val="1"/>
                <c:pt idx="0">
                  <c:v>Contaminated soil</c:v>
                </c:pt>
              </c:strCache>
            </c:strRef>
          </c:tx>
          <c:spPr>
            <a:solidFill>
              <a:schemeClr val="bg2">
                <a:lumMod val="25000"/>
              </a:schemeClr>
            </a:solidFill>
            <a:ln>
              <a:noFill/>
            </a:ln>
            <a:effectLst/>
          </c:spPr>
          <c:cat>
            <c:strRef>
              <c:f>'Generation by financial year'!$C$7:$O$7</c:f>
              <c:strCache>
                <c:ptCount val="13"/>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strCache>
            </c:strRef>
          </c:cat>
          <c:val>
            <c:numRef>
              <c:f>'Generation by financial year'!$DD$173:$DP$173</c:f>
              <c:numCache>
                <c:formatCode>#,##0</c:formatCode>
                <c:ptCount val="13"/>
                <c:pt idx="0">
                  <c:v>583818.8629999978</c:v>
                </c:pt>
                <c:pt idx="1">
                  <c:v>494999.15499999974</c:v>
                </c:pt>
                <c:pt idx="2">
                  <c:v>299986.0400000005</c:v>
                </c:pt>
                <c:pt idx="3">
                  <c:v>281692.21399999951</c:v>
                </c:pt>
                <c:pt idx="4">
                  <c:v>401109.14100000041</c:v>
                </c:pt>
                <c:pt idx="5">
                  <c:v>369366.92199999903</c:v>
                </c:pt>
                <c:pt idx="6">
                  <c:v>352854.29899999831</c:v>
                </c:pt>
                <c:pt idx="7">
                  <c:v>313563.66699999943</c:v>
                </c:pt>
                <c:pt idx="8">
                  <c:v>358930.07499999995</c:v>
                </c:pt>
                <c:pt idx="9">
                  <c:v>353234.30200000212</c:v>
                </c:pt>
                <c:pt idx="10">
                  <c:v>450809.25579844799</c:v>
                </c:pt>
                <c:pt idx="11">
                  <c:v>761715.39600000461</c:v>
                </c:pt>
                <c:pt idx="12">
                  <c:v>734401.41812900337</c:v>
                </c:pt>
              </c:numCache>
            </c:numRef>
          </c:val>
          <c:extLst>
            <c:ext xmlns:c16="http://schemas.microsoft.com/office/drawing/2014/chart" uri="{C3380CC4-5D6E-409C-BE32-E72D297353CC}">
              <c16:uniqueId val="{00000002-BA41-4C53-BB6E-F095B9E4606D}"/>
            </c:ext>
          </c:extLst>
        </c:ser>
        <c:dLbls>
          <c:showLegendKey val="0"/>
          <c:showVal val="0"/>
          <c:showCatName val="0"/>
          <c:showSerName val="0"/>
          <c:showPercent val="0"/>
          <c:showBubbleSize val="0"/>
        </c:dLbls>
        <c:axId val="1116250744"/>
        <c:axId val="1116248120"/>
      </c:areaChart>
      <c:catAx>
        <c:axId val="11162507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16248120"/>
        <c:crosses val="autoZero"/>
        <c:auto val="1"/>
        <c:lblAlgn val="ctr"/>
        <c:lblOffset val="100"/>
        <c:noMultiLvlLbl val="0"/>
      </c:catAx>
      <c:valAx>
        <c:axId val="111624812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Thousands of tonnes of waste generated</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16250744"/>
        <c:crosses val="autoZero"/>
        <c:crossBetween val="midCat"/>
        <c:dispUnits>
          <c:builtInUnit val="thousands"/>
        </c:dispUnits>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49781277340332"/>
          <c:y val="0.11118749654327205"/>
          <c:w val="0.79081452318460188"/>
          <c:h val="0.75333538712510328"/>
        </c:manualLayout>
      </c:layout>
      <c:areaChart>
        <c:grouping val="stacked"/>
        <c:varyColors val="0"/>
        <c:ser>
          <c:idx val="2"/>
          <c:order val="0"/>
          <c:tx>
            <c:strRef>
              <c:f>'Generation by financial year'!$A$175</c:f>
              <c:strCache>
                <c:ptCount val="1"/>
                <c:pt idx="0">
                  <c:v>Other</c:v>
                </c:pt>
              </c:strCache>
            </c:strRef>
          </c:tx>
          <c:spPr>
            <a:solidFill>
              <a:srgbClr val="FF5050"/>
            </a:solidFill>
            <a:ln>
              <a:noFill/>
            </a:ln>
            <a:effectLst/>
          </c:spPr>
          <c:cat>
            <c:strRef>
              <c:f>'Generation by financial year'!$C$7:$O$7</c:f>
              <c:strCache>
                <c:ptCount val="13"/>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strCache>
            </c:strRef>
          </c:cat>
          <c:val>
            <c:numRef>
              <c:f>'Generation by financial year'!$DS$175:$EE$175</c:f>
              <c:numCache>
                <c:formatCode>#,##0</c:formatCode>
                <c:ptCount val="13"/>
                <c:pt idx="0">
                  <c:v>425275.86106784269</c:v>
                </c:pt>
                <c:pt idx="1">
                  <c:v>422766.32529633061</c:v>
                </c:pt>
                <c:pt idx="2">
                  <c:v>423754.76532373141</c:v>
                </c:pt>
                <c:pt idx="3">
                  <c:v>440224.61863965413</c:v>
                </c:pt>
                <c:pt idx="4">
                  <c:v>572491.77887064987</c:v>
                </c:pt>
                <c:pt idx="5">
                  <c:v>549278.67669033876</c:v>
                </c:pt>
                <c:pt idx="6">
                  <c:v>590165.20558230847</c:v>
                </c:pt>
                <c:pt idx="7">
                  <c:v>613370.78954435291</c:v>
                </c:pt>
                <c:pt idx="8">
                  <c:v>528440.71325924643</c:v>
                </c:pt>
                <c:pt idx="9">
                  <c:v>602296.32698185043</c:v>
                </c:pt>
                <c:pt idx="10">
                  <c:v>571879.80688771536</c:v>
                </c:pt>
                <c:pt idx="11">
                  <c:v>737007.47647910472</c:v>
                </c:pt>
                <c:pt idx="12">
                  <c:v>716965.47232196049</c:v>
                </c:pt>
              </c:numCache>
            </c:numRef>
          </c:val>
          <c:extLst>
            <c:ext xmlns:c16="http://schemas.microsoft.com/office/drawing/2014/chart" uri="{C3380CC4-5D6E-409C-BE32-E72D297353CC}">
              <c16:uniqueId val="{00000000-A9CC-4AE4-9B45-12CC316835EA}"/>
            </c:ext>
          </c:extLst>
        </c:ser>
        <c:ser>
          <c:idx val="1"/>
          <c:order val="1"/>
          <c:tx>
            <c:strRef>
              <c:f>'Generation by financial year'!$A$174</c:f>
              <c:strCache>
                <c:ptCount val="1"/>
                <c:pt idx="0">
                  <c:v>Asbestos</c:v>
                </c:pt>
              </c:strCache>
            </c:strRef>
          </c:tx>
          <c:spPr>
            <a:solidFill>
              <a:schemeClr val="bg1">
                <a:lumMod val="65000"/>
              </a:schemeClr>
            </a:solidFill>
            <a:ln>
              <a:noFill/>
            </a:ln>
            <a:effectLst/>
          </c:spPr>
          <c:cat>
            <c:strRef>
              <c:f>'Generation by financial year'!$C$7:$O$7</c:f>
              <c:strCache>
                <c:ptCount val="13"/>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strCache>
            </c:strRef>
          </c:cat>
          <c:val>
            <c:numRef>
              <c:f>'Generation by financial year'!$DS$174:$EE$174</c:f>
              <c:numCache>
                <c:formatCode>#,##0</c:formatCode>
                <c:ptCount val="13"/>
                <c:pt idx="0">
                  <c:v>225.06</c:v>
                </c:pt>
                <c:pt idx="1">
                  <c:v>5947.04</c:v>
                </c:pt>
                <c:pt idx="2">
                  <c:v>10836.26</c:v>
                </c:pt>
                <c:pt idx="3">
                  <c:v>12286.07</c:v>
                </c:pt>
                <c:pt idx="4">
                  <c:v>19390.46</c:v>
                </c:pt>
                <c:pt idx="5">
                  <c:v>12099.52</c:v>
                </c:pt>
                <c:pt idx="6">
                  <c:v>26044.78</c:v>
                </c:pt>
                <c:pt idx="7">
                  <c:v>29236.55</c:v>
                </c:pt>
                <c:pt idx="8">
                  <c:v>38492.144139930453</c:v>
                </c:pt>
                <c:pt idx="9">
                  <c:v>38724.035843466285</c:v>
                </c:pt>
                <c:pt idx="10">
                  <c:v>39000</c:v>
                </c:pt>
                <c:pt idx="11">
                  <c:v>39328.520821865335</c:v>
                </c:pt>
                <c:pt idx="12">
                  <c:v>39276.14569808395</c:v>
                </c:pt>
              </c:numCache>
            </c:numRef>
          </c:val>
          <c:extLst>
            <c:ext xmlns:c16="http://schemas.microsoft.com/office/drawing/2014/chart" uri="{C3380CC4-5D6E-409C-BE32-E72D297353CC}">
              <c16:uniqueId val="{00000001-A9CC-4AE4-9B45-12CC316835EA}"/>
            </c:ext>
          </c:extLst>
        </c:ser>
        <c:ser>
          <c:idx val="0"/>
          <c:order val="2"/>
          <c:tx>
            <c:strRef>
              <c:f>'Generation by financial year'!$A$173</c:f>
              <c:strCache>
                <c:ptCount val="1"/>
                <c:pt idx="0">
                  <c:v>Contaminated soil</c:v>
                </c:pt>
              </c:strCache>
            </c:strRef>
          </c:tx>
          <c:spPr>
            <a:solidFill>
              <a:schemeClr val="bg2">
                <a:lumMod val="25000"/>
              </a:schemeClr>
            </a:solidFill>
            <a:ln>
              <a:noFill/>
            </a:ln>
            <a:effectLst/>
          </c:spPr>
          <c:cat>
            <c:strRef>
              <c:f>'Generation by financial year'!$C$7:$O$7</c:f>
              <c:strCache>
                <c:ptCount val="13"/>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strCache>
            </c:strRef>
          </c:cat>
          <c:val>
            <c:numRef>
              <c:f>'Generation by financial year'!$DS$173:$EE$173</c:f>
              <c:numCache>
                <c:formatCode>#,##0</c:formatCode>
                <c:ptCount val="13"/>
                <c:pt idx="0">
                  <c:v>12853.998382000002</c:v>
                </c:pt>
                <c:pt idx="1">
                  <c:v>6665.9451800000024</c:v>
                </c:pt>
                <c:pt idx="2">
                  <c:v>7319.7186200000006</c:v>
                </c:pt>
                <c:pt idx="3">
                  <c:v>10227.80371</c:v>
                </c:pt>
                <c:pt idx="4">
                  <c:v>6997.4307099999996</c:v>
                </c:pt>
                <c:pt idx="5">
                  <c:v>5014.2477960000006</c:v>
                </c:pt>
                <c:pt idx="6">
                  <c:v>3786.8782869999995</c:v>
                </c:pt>
                <c:pt idx="7">
                  <c:v>3179.2458259999994</c:v>
                </c:pt>
                <c:pt idx="8">
                  <c:v>13341.052548</c:v>
                </c:pt>
                <c:pt idx="9">
                  <c:v>14228.27764</c:v>
                </c:pt>
                <c:pt idx="10">
                  <c:v>5042.5530239999971</c:v>
                </c:pt>
                <c:pt idx="11">
                  <c:v>10596.960665999999</c:v>
                </c:pt>
                <c:pt idx="12">
                  <c:v>4083.4372300000005</c:v>
                </c:pt>
              </c:numCache>
            </c:numRef>
          </c:val>
          <c:extLst>
            <c:ext xmlns:c16="http://schemas.microsoft.com/office/drawing/2014/chart" uri="{C3380CC4-5D6E-409C-BE32-E72D297353CC}">
              <c16:uniqueId val="{00000002-A9CC-4AE4-9B45-12CC316835EA}"/>
            </c:ext>
          </c:extLst>
        </c:ser>
        <c:dLbls>
          <c:showLegendKey val="0"/>
          <c:showVal val="0"/>
          <c:showCatName val="0"/>
          <c:showSerName val="0"/>
          <c:showPercent val="0"/>
          <c:showBubbleSize val="0"/>
        </c:dLbls>
        <c:axId val="1116250744"/>
        <c:axId val="1116248120"/>
      </c:areaChart>
      <c:catAx>
        <c:axId val="11162507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16248120"/>
        <c:crosses val="autoZero"/>
        <c:auto val="1"/>
        <c:lblAlgn val="ctr"/>
        <c:lblOffset val="100"/>
        <c:noMultiLvlLbl val="0"/>
      </c:catAx>
      <c:valAx>
        <c:axId val="111624812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Thousands of tonnes of waste generated</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16250744"/>
        <c:crosses val="autoZero"/>
        <c:crossBetween val="midCat"/>
        <c:dispUnits>
          <c:builtInUnit val="thousands"/>
        </c:dispUnits>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cid:7294F203-7C47-4DC8-A422-6D6656F92180"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7.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6.xml"/><Relationship Id="rId2" Type="http://schemas.openxmlformats.org/officeDocument/2006/relationships/chart" Target="../charts/chart2.xml"/><Relationship Id="rId16" Type="http://schemas.openxmlformats.org/officeDocument/2006/relationships/image" Target="../media/image3.png"/><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_rels/drawing3.xml.rels><?xml version="1.0" encoding="UTF-8" standalone="yes"?>
<Relationships xmlns="http://schemas.openxmlformats.org/package/2006/relationships"><Relationship Id="rId1" Type="http://schemas.openxmlformats.org/officeDocument/2006/relationships/image" Target="../media/image4.gif"/></Relationships>
</file>

<file path=xl/drawings/drawing1.xml><?xml version="1.0" encoding="utf-8"?>
<xdr:wsDr xmlns:xdr="http://schemas.openxmlformats.org/drawingml/2006/spreadsheetDrawing" xmlns:a="http://schemas.openxmlformats.org/drawingml/2006/main">
  <xdr:twoCellAnchor editAs="oneCell">
    <xdr:from>
      <xdr:col>15</xdr:col>
      <xdr:colOff>0</xdr:colOff>
      <xdr:row>1</xdr:row>
      <xdr:rowOff>0</xdr:rowOff>
    </xdr:from>
    <xdr:to>
      <xdr:col>18</xdr:col>
      <xdr:colOff>427567</xdr:colOff>
      <xdr:row>3</xdr:row>
      <xdr:rowOff>63534</xdr:rowOff>
    </xdr:to>
    <xdr:pic>
      <xdr:nvPicPr>
        <xdr:cNvPr id="2" name="eeb5c682-7b0a-4069-8696-c31004c6ef33" descr="cid:7294F203-7C47-4DC8-A422-6D6656F92180">
          <a:extLst>
            <a:ext uri="{FF2B5EF4-FFF2-40B4-BE49-F238E27FC236}">
              <a16:creationId xmlns:a16="http://schemas.microsoft.com/office/drawing/2014/main" id="{8F915936-27E9-405D-8580-8776CA3B37DA}"/>
            </a:ext>
          </a:extLst>
        </xdr:cNvPr>
        <xdr:cNvPicPr>
          <a:picLocks noChangeAspect="1"/>
        </xdr:cNvPicPr>
      </xdr:nvPicPr>
      <xdr:blipFill>
        <a:blip xmlns:r="http://schemas.openxmlformats.org/officeDocument/2006/relationships" r:embed="rId1" r:link="rId2" cstate="print"/>
        <a:srcRect/>
        <a:stretch>
          <a:fillRect/>
        </a:stretch>
      </xdr:blipFill>
      <xdr:spPr bwMode="auto">
        <a:xfrm>
          <a:off x="10267950" y="238125"/>
          <a:ext cx="2256367" cy="406434"/>
        </a:xfrm>
        <a:prstGeom prst="rect">
          <a:avLst/>
        </a:prstGeom>
        <a:noFill/>
        <a:ln w="9525">
          <a:noFill/>
          <a:miter lim="800000"/>
          <a:headEnd/>
          <a:tailEnd/>
        </a:ln>
      </xdr:spPr>
    </xdr:pic>
    <xdr:clientData/>
  </xdr:twoCellAnchor>
  <xdr:twoCellAnchor editAs="oneCell">
    <xdr:from>
      <xdr:col>14</xdr:col>
      <xdr:colOff>603251</xdr:colOff>
      <xdr:row>3</xdr:row>
      <xdr:rowOff>21166</xdr:rowOff>
    </xdr:from>
    <xdr:to>
      <xdr:col>18</xdr:col>
      <xdr:colOff>132034</xdr:colOff>
      <xdr:row>6</xdr:row>
      <xdr:rowOff>158749</xdr:rowOff>
    </xdr:to>
    <xdr:pic>
      <xdr:nvPicPr>
        <xdr:cNvPr id="4" name="Picture 3">
          <a:extLst>
            <a:ext uri="{FF2B5EF4-FFF2-40B4-BE49-F238E27FC236}">
              <a16:creationId xmlns:a16="http://schemas.microsoft.com/office/drawing/2014/main" id="{86DBB710-C0C3-411D-BFEB-333A0FF11E64}"/>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8395"/>
        <a:stretch/>
      </xdr:blipFill>
      <xdr:spPr bwMode="auto">
        <a:xfrm>
          <a:off x="10265834" y="603249"/>
          <a:ext cx="1984117" cy="645583"/>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555624</xdr:colOff>
      <xdr:row>176</xdr:row>
      <xdr:rowOff>131234</xdr:rowOff>
    </xdr:from>
    <xdr:to>
      <xdr:col>11</xdr:col>
      <xdr:colOff>214313</xdr:colOff>
      <xdr:row>201</xdr:row>
      <xdr:rowOff>31750</xdr:rowOff>
    </xdr:to>
    <xdr:graphicFrame macro="">
      <xdr:nvGraphicFramePr>
        <xdr:cNvPr id="3" name="Chart 2">
          <a:extLst>
            <a:ext uri="{FF2B5EF4-FFF2-40B4-BE49-F238E27FC236}">
              <a16:creationId xmlns:a16="http://schemas.microsoft.com/office/drawing/2014/main" id="{A448D7F8-F92D-4645-B4CB-000E3D51B88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0</xdr:colOff>
      <xdr:row>177</xdr:row>
      <xdr:rowOff>0</xdr:rowOff>
    </xdr:from>
    <xdr:to>
      <xdr:col>24</xdr:col>
      <xdr:colOff>158750</xdr:colOff>
      <xdr:row>201</xdr:row>
      <xdr:rowOff>59266</xdr:rowOff>
    </xdr:to>
    <xdr:graphicFrame macro="">
      <xdr:nvGraphicFramePr>
        <xdr:cNvPr id="4" name="Chart 3">
          <a:extLst>
            <a:ext uri="{FF2B5EF4-FFF2-40B4-BE49-F238E27FC236}">
              <a16:creationId xmlns:a16="http://schemas.microsoft.com/office/drawing/2014/main" id="{67CA1E24-1A19-4939-916A-6354915FDC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32</xdr:col>
      <xdr:colOff>0</xdr:colOff>
      <xdr:row>177</xdr:row>
      <xdr:rowOff>0</xdr:rowOff>
    </xdr:from>
    <xdr:to>
      <xdr:col>38</xdr:col>
      <xdr:colOff>391583</xdr:colOff>
      <xdr:row>201</xdr:row>
      <xdr:rowOff>59266</xdr:rowOff>
    </xdr:to>
    <xdr:graphicFrame macro="">
      <xdr:nvGraphicFramePr>
        <xdr:cNvPr id="5" name="Chart 4">
          <a:extLst>
            <a:ext uri="{FF2B5EF4-FFF2-40B4-BE49-F238E27FC236}">
              <a16:creationId xmlns:a16="http://schemas.microsoft.com/office/drawing/2014/main" id="{B8590259-3380-4A81-8E12-D407FACAF8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47</xdr:col>
      <xdr:colOff>0</xdr:colOff>
      <xdr:row>177</xdr:row>
      <xdr:rowOff>0</xdr:rowOff>
    </xdr:from>
    <xdr:to>
      <xdr:col>54</xdr:col>
      <xdr:colOff>275166</xdr:colOff>
      <xdr:row>201</xdr:row>
      <xdr:rowOff>59266</xdr:rowOff>
    </xdr:to>
    <xdr:graphicFrame macro="">
      <xdr:nvGraphicFramePr>
        <xdr:cNvPr id="6" name="Chart 5">
          <a:extLst>
            <a:ext uri="{FF2B5EF4-FFF2-40B4-BE49-F238E27FC236}">
              <a16:creationId xmlns:a16="http://schemas.microsoft.com/office/drawing/2014/main" id="{4977541C-4009-47CE-B17C-B868D7E171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62</xdr:col>
      <xdr:colOff>0</xdr:colOff>
      <xdr:row>177</xdr:row>
      <xdr:rowOff>0</xdr:rowOff>
    </xdr:from>
    <xdr:to>
      <xdr:col>68</xdr:col>
      <xdr:colOff>624417</xdr:colOff>
      <xdr:row>201</xdr:row>
      <xdr:rowOff>59266</xdr:rowOff>
    </xdr:to>
    <xdr:graphicFrame macro="">
      <xdr:nvGraphicFramePr>
        <xdr:cNvPr id="7" name="Chart 6">
          <a:extLst>
            <a:ext uri="{FF2B5EF4-FFF2-40B4-BE49-F238E27FC236}">
              <a16:creationId xmlns:a16="http://schemas.microsoft.com/office/drawing/2014/main" id="{E80E1546-E60D-4ED0-BA69-8E419BF08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77</xdr:col>
      <xdr:colOff>0</xdr:colOff>
      <xdr:row>177</xdr:row>
      <xdr:rowOff>0</xdr:rowOff>
    </xdr:from>
    <xdr:to>
      <xdr:col>84</xdr:col>
      <xdr:colOff>275167</xdr:colOff>
      <xdr:row>201</xdr:row>
      <xdr:rowOff>59266</xdr:rowOff>
    </xdr:to>
    <xdr:graphicFrame macro="">
      <xdr:nvGraphicFramePr>
        <xdr:cNvPr id="8" name="Chart 7">
          <a:extLst>
            <a:ext uri="{FF2B5EF4-FFF2-40B4-BE49-F238E27FC236}">
              <a16:creationId xmlns:a16="http://schemas.microsoft.com/office/drawing/2014/main" id="{64BE909C-38FB-48F8-A00E-E255DD38DA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92</xdr:col>
      <xdr:colOff>0</xdr:colOff>
      <xdr:row>177</xdr:row>
      <xdr:rowOff>0</xdr:rowOff>
    </xdr:from>
    <xdr:to>
      <xdr:col>99</xdr:col>
      <xdr:colOff>275167</xdr:colOff>
      <xdr:row>201</xdr:row>
      <xdr:rowOff>59266</xdr:rowOff>
    </xdr:to>
    <xdr:graphicFrame macro="">
      <xdr:nvGraphicFramePr>
        <xdr:cNvPr id="9" name="Chart 8">
          <a:extLst>
            <a:ext uri="{FF2B5EF4-FFF2-40B4-BE49-F238E27FC236}">
              <a16:creationId xmlns:a16="http://schemas.microsoft.com/office/drawing/2014/main" id="{BEE08473-9EA0-4062-BA89-D8FE84A7BA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107</xdr:col>
      <xdr:colOff>0</xdr:colOff>
      <xdr:row>177</xdr:row>
      <xdr:rowOff>0</xdr:rowOff>
    </xdr:from>
    <xdr:to>
      <xdr:col>114</xdr:col>
      <xdr:colOff>21167</xdr:colOff>
      <xdr:row>201</xdr:row>
      <xdr:rowOff>59266</xdr:rowOff>
    </xdr:to>
    <xdr:graphicFrame macro="">
      <xdr:nvGraphicFramePr>
        <xdr:cNvPr id="10" name="Chart 9">
          <a:extLst>
            <a:ext uri="{FF2B5EF4-FFF2-40B4-BE49-F238E27FC236}">
              <a16:creationId xmlns:a16="http://schemas.microsoft.com/office/drawing/2014/main" id="{8DC08634-C7C7-4E0C-94DB-B65F6A0702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122</xdr:col>
      <xdr:colOff>0</xdr:colOff>
      <xdr:row>177</xdr:row>
      <xdr:rowOff>0</xdr:rowOff>
    </xdr:from>
    <xdr:to>
      <xdr:col>129</xdr:col>
      <xdr:colOff>275167</xdr:colOff>
      <xdr:row>201</xdr:row>
      <xdr:rowOff>59266</xdr:rowOff>
    </xdr:to>
    <xdr:graphicFrame macro="">
      <xdr:nvGraphicFramePr>
        <xdr:cNvPr id="11" name="Chart 10">
          <a:extLst>
            <a:ext uri="{FF2B5EF4-FFF2-40B4-BE49-F238E27FC236}">
              <a16:creationId xmlns:a16="http://schemas.microsoft.com/office/drawing/2014/main" id="{F0D5496B-B7DC-4EFD-BF16-451F429130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xdr:col>
      <xdr:colOff>529166</xdr:colOff>
      <xdr:row>202</xdr:row>
      <xdr:rowOff>0</xdr:rowOff>
    </xdr:from>
    <xdr:to>
      <xdr:col>9</xdr:col>
      <xdr:colOff>402166</xdr:colOff>
      <xdr:row>226</xdr:row>
      <xdr:rowOff>59266</xdr:rowOff>
    </xdr:to>
    <xdr:graphicFrame macro="">
      <xdr:nvGraphicFramePr>
        <xdr:cNvPr id="12" name="Chart 11">
          <a:extLst>
            <a:ext uri="{FF2B5EF4-FFF2-40B4-BE49-F238E27FC236}">
              <a16:creationId xmlns:a16="http://schemas.microsoft.com/office/drawing/2014/main" id="{0ECF2BBB-9FF1-4F73-B778-179FFCDA66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10</xdr:col>
      <xdr:colOff>67469</xdr:colOff>
      <xdr:row>227</xdr:row>
      <xdr:rowOff>6616</xdr:rowOff>
    </xdr:from>
    <xdr:to>
      <xdr:col>18</xdr:col>
      <xdr:colOff>404813</xdr:colOff>
      <xdr:row>246</xdr:row>
      <xdr:rowOff>95251</xdr:rowOff>
    </xdr:to>
    <xdr:graphicFrame macro="">
      <xdr:nvGraphicFramePr>
        <xdr:cNvPr id="13" name="Chart 12">
          <a:extLst>
            <a:ext uri="{FF2B5EF4-FFF2-40B4-BE49-F238E27FC236}">
              <a16:creationId xmlns:a16="http://schemas.microsoft.com/office/drawing/2014/main" id="{B28F50E3-FE8E-4391-BFC8-56125BA4078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9</xdr:col>
      <xdr:colOff>592667</xdr:colOff>
      <xdr:row>202</xdr:row>
      <xdr:rowOff>10584</xdr:rowOff>
    </xdr:from>
    <xdr:to>
      <xdr:col>18</xdr:col>
      <xdr:colOff>465667</xdr:colOff>
      <xdr:row>226</xdr:row>
      <xdr:rowOff>69850</xdr:rowOff>
    </xdr:to>
    <xdr:graphicFrame macro="">
      <xdr:nvGraphicFramePr>
        <xdr:cNvPr id="15" name="Chart 14">
          <a:extLst>
            <a:ext uri="{FF2B5EF4-FFF2-40B4-BE49-F238E27FC236}">
              <a16:creationId xmlns:a16="http://schemas.microsoft.com/office/drawing/2014/main" id="{3D104E84-0F22-48DC-9531-F1A86BC31E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19</xdr:col>
      <xdr:colOff>0</xdr:colOff>
      <xdr:row>202</xdr:row>
      <xdr:rowOff>0</xdr:rowOff>
    </xdr:from>
    <xdr:to>
      <xdr:col>26</xdr:col>
      <xdr:colOff>74083</xdr:colOff>
      <xdr:row>226</xdr:row>
      <xdr:rowOff>59266</xdr:rowOff>
    </xdr:to>
    <xdr:graphicFrame macro="">
      <xdr:nvGraphicFramePr>
        <xdr:cNvPr id="16" name="Chart 15">
          <a:extLst>
            <a:ext uri="{FF2B5EF4-FFF2-40B4-BE49-F238E27FC236}">
              <a16:creationId xmlns:a16="http://schemas.microsoft.com/office/drawing/2014/main" id="{5B2D7B1C-D07A-47F0-BAA7-A4A207353F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26</xdr:col>
      <xdr:colOff>190500</xdr:colOff>
      <xdr:row>202</xdr:row>
      <xdr:rowOff>0</xdr:rowOff>
    </xdr:from>
    <xdr:to>
      <xdr:col>34</xdr:col>
      <xdr:colOff>698500</xdr:colOff>
      <xdr:row>226</xdr:row>
      <xdr:rowOff>59266</xdr:rowOff>
    </xdr:to>
    <xdr:graphicFrame macro="">
      <xdr:nvGraphicFramePr>
        <xdr:cNvPr id="17" name="Chart 16">
          <a:extLst>
            <a:ext uri="{FF2B5EF4-FFF2-40B4-BE49-F238E27FC236}">
              <a16:creationId xmlns:a16="http://schemas.microsoft.com/office/drawing/2014/main" id="{A18FA3A4-4FD1-4D7C-B757-3D51858E91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2</xdr:col>
      <xdr:colOff>84326</xdr:colOff>
      <xdr:row>224</xdr:row>
      <xdr:rowOff>146069</xdr:rowOff>
    </xdr:from>
    <xdr:to>
      <xdr:col>9</xdr:col>
      <xdr:colOff>559592</xdr:colOff>
      <xdr:row>270</xdr:row>
      <xdr:rowOff>11905</xdr:rowOff>
    </xdr:to>
    <xdr:graphicFrame macro="">
      <xdr:nvGraphicFramePr>
        <xdr:cNvPr id="18" name="Chart 17">
          <a:extLst>
            <a:ext uri="{FF2B5EF4-FFF2-40B4-BE49-F238E27FC236}">
              <a16:creationId xmlns:a16="http://schemas.microsoft.com/office/drawing/2014/main" id="{F9215379-F5F5-224C-9C85-B5E50E663B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editAs="oneCell">
    <xdr:from>
      <xdr:col>2</xdr:col>
      <xdr:colOff>289339</xdr:colOff>
      <xdr:row>273</xdr:row>
      <xdr:rowOff>62027</xdr:rowOff>
    </xdr:from>
    <xdr:to>
      <xdr:col>7</xdr:col>
      <xdr:colOff>9648</xdr:colOff>
      <xdr:row>287</xdr:row>
      <xdr:rowOff>67937</xdr:rowOff>
    </xdr:to>
    <xdr:pic>
      <xdr:nvPicPr>
        <xdr:cNvPr id="19" name="Picture 18">
          <a:extLst>
            <a:ext uri="{FF2B5EF4-FFF2-40B4-BE49-F238E27FC236}">
              <a16:creationId xmlns:a16="http://schemas.microsoft.com/office/drawing/2014/main" id="{2F892820-F860-0B46-BAF3-0A325CF49F94}"/>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777620" y="32232715"/>
          <a:ext cx="3054059" cy="2339535"/>
        </a:xfrm>
        <a:prstGeom prst="rect">
          <a:avLst/>
        </a:prstGeom>
      </xdr:spPr>
    </xdr:pic>
    <xdr:clientData/>
  </xdr:twoCellAnchor>
  <xdr:twoCellAnchor>
    <xdr:from>
      <xdr:col>9</xdr:col>
      <xdr:colOff>631322</xdr:colOff>
      <xdr:row>248</xdr:row>
      <xdr:rowOff>47722</xdr:rowOff>
    </xdr:from>
    <xdr:to>
      <xdr:col>18</xdr:col>
      <xdr:colOff>5913</xdr:colOff>
      <xdr:row>286</xdr:row>
      <xdr:rowOff>30387</xdr:rowOff>
    </xdr:to>
    <xdr:graphicFrame macro="">
      <xdr:nvGraphicFramePr>
        <xdr:cNvPr id="20" name="Chart 19">
          <a:extLst>
            <a:ext uri="{FF2B5EF4-FFF2-40B4-BE49-F238E27FC236}">
              <a16:creationId xmlns:a16="http://schemas.microsoft.com/office/drawing/2014/main" id="{6DB13CA3-771E-E944-8014-077A17760E2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9</xdr:col>
      <xdr:colOff>653141</xdr:colOff>
      <xdr:row>288</xdr:row>
      <xdr:rowOff>0</xdr:rowOff>
    </xdr:from>
    <xdr:to>
      <xdr:col>24</xdr:col>
      <xdr:colOff>190499</xdr:colOff>
      <xdr:row>325</xdr:row>
      <xdr:rowOff>152702</xdr:rowOff>
    </xdr:to>
    <xdr:graphicFrame macro="">
      <xdr:nvGraphicFramePr>
        <xdr:cNvPr id="23" name="Chart 22">
          <a:extLst>
            <a:ext uri="{FF2B5EF4-FFF2-40B4-BE49-F238E27FC236}">
              <a16:creationId xmlns:a16="http://schemas.microsoft.com/office/drawing/2014/main" id="{7D953320-9889-4BE6-B7B8-33E8A4A257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0</xdr:colOff>
      <xdr:row>17</xdr:row>
      <xdr:rowOff>0</xdr:rowOff>
    </xdr:from>
    <xdr:to>
      <xdr:col>3</xdr:col>
      <xdr:colOff>9525</xdr:colOff>
      <xdr:row>17</xdr:row>
      <xdr:rowOff>9525</xdr:rowOff>
    </xdr:to>
    <xdr:pic>
      <xdr:nvPicPr>
        <xdr:cNvPr id="2" name="Picture 1" descr="http://www.abs.gov.au/icons/ecblank.gif">
          <a:extLst>
            <a:ext uri="{FF2B5EF4-FFF2-40B4-BE49-F238E27FC236}">
              <a16:creationId xmlns:a16="http://schemas.microsoft.com/office/drawing/2014/main" id="{BEBB2C3D-5611-7F41-9528-DB4B8179D6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17</xdr:row>
      <xdr:rowOff>0</xdr:rowOff>
    </xdr:from>
    <xdr:to>
      <xdr:col>4</xdr:col>
      <xdr:colOff>9525</xdr:colOff>
      <xdr:row>17</xdr:row>
      <xdr:rowOff>9525</xdr:rowOff>
    </xdr:to>
    <xdr:pic>
      <xdr:nvPicPr>
        <xdr:cNvPr id="3" name="Picture 2" descr="http://www.abs.gov.au/icons/ecblank.gif">
          <a:extLst>
            <a:ext uri="{FF2B5EF4-FFF2-40B4-BE49-F238E27FC236}">
              <a16:creationId xmlns:a16="http://schemas.microsoft.com/office/drawing/2014/main" id="{C4907158-B027-544B-AB8D-65ED7E1921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02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17</xdr:row>
      <xdr:rowOff>0</xdr:rowOff>
    </xdr:from>
    <xdr:to>
      <xdr:col>5</xdr:col>
      <xdr:colOff>9525</xdr:colOff>
      <xdr:row>17</xdr:row>
      <xdr:rowOff>9525</xdr:rowOff>
    </xdr:to>
    <xdr:pic>
      <xdr:nvPicPr>
        <xdr:cNvPr id="4" name="Picture 3" descr="http://www.abs.gov.au/icons/ecblank.gif">
          <a:extLst>
            <a:ext uri="{FF2B5EF4-FFF2-40B4-BE49-F238E27FC236}">
              <a16:creationId xmlns:a16="http://schemas.microsoft.com/office/drawing/2014/main" id="{EB2CAB5D-3C88-714B-ACE2-136A20786E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17</xdr:row>
      <xdr:rowOff>0</xdr:rowOff>
    </xdr:from>
    <xdr:to>
      <xdr:col>5</xdr:col>
      <xdr:colOff>9525</xdr:colOff>
      <xdr:row>17</xdr:row>
      <xdr:rowOff>9525</xdr:rowOff>
    </xdr:to>
    <xdr:pic>
      <xdr:nvPicPr>
        <xdr:cNvPr id="5" name="Picture 4" descr="http://www.abs.gov.au/icons/ecblank.gif">
          <a:extLst>
            <a:ext uri="{FF2B5EF4-FFF2-40B4-BE49-F238E27FC236}">
              <a16:creationId xmlns:a16="http://schemas.microsoft.com/office/drawing/2014/main" id="{4BE54246-AE87-584E-A222-7E728F8551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9525</xdr:colOff>
      <xdr:row>17</xdr:row>
      <xdr:rowOff>9525</xdr:rowOff>
    </xdr:to>
    <xdr:pic>
      <xdr:nvPicPr>
        <xdr:cNvPr id="6" name="Picture 5" descr="http://www.abs.gov.au/icons/ecblank.gif">
          <a:extLst>
            <a:ext uri="{FF2B5EF4-FFF2-40B4-BE49-F238E27FC236}">
              <a16:creationId xmlns:a16="http://schemas.microsoft.com/office/drawing/2014/main" id="{86C85409-1CAE-EF48-A7B5-D3D1C31B1A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9525</xdr:colOff>
      <xdr:row>17</xdr:row>
      <xdr:rowOff>9525</xdr:rowOff>
    </xdr:to>
    <xdr:pic>
      <xdr:nvPicPr>
        <xdr:cNvPr id="7" name="Picture 6" descr="http://www.abs.gov.au/icons/ecblank.gif">
          <a:extLst>
            <a:ext uri="{FF2B5EF4-FFF2-40B4-BE49-F238E27FC236}">
              <a16:creationId xmlns:a16="http://schemas.microsoft.com/office/drawing/2014/main" id="{84A6BE2A-9BCA-F24C-9860-BB14BCFD43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9525</xdr:colOff>
      <xdr:row>17</xdr:row>
      <xdr:rowOff>9525</xdr:rowOff>
    </xdr:to>
    <xdr:pic>
      <xdr:nvPicPr>
        <xdr:cNvPr id="8" name="Picture 7" descr="http://www.abs.gov.au/icons/ecblank.gif">
          <a:extLst>
            <a:ext uri="{FF2B5EF4-FFF2-40B4-BE49-F238E27FC236}">
              <a16:creationId xmlns:a16="http://schemas.microsoft.com/office/drawing/2014/main" id="{E1A8EFC8-EB9F-2E46-8F23-EAAA07D29A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9525</xdr:colOff>
      <xdr:row>17</xdr:row>
      <xdr:rowOff>9525</xdr:rowOff>
    </xdr:to>
    <xdr:pic>
      <xdr:nvPicPr>
        <xdr:cNvPr id="9" name="Picture 8" descr="http://www.abs.gov.au/icons/ecblank.gif">
          <a:extLst>
            <a:ext uri="{FF2B5EF4-FFF2-40B4-BE49-F238E27FC236}">
              <a16:creationId xmlns:a16="http://schemas.microsoft.com/office/drawing/2014/main" id="{FC04BF00-26FD-D645-B698-904804CEF6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9525</xdr:colOff>
      <xdr:row>17</xdr:row>
      <xdr:rowOff>9525</xdr:rowOff>
    </xdr:to>
    <xdr:pic>
      <xdr:nvPicPr>
        <xdr:cNvPr id="10" name="Picture 9" descr="http://www.abs.gov.au/icons/ecblank.gif">
          <a:extLst>
            <a:ext uri="{FF2B5EF4-FFF2-40B4-BE49-F238E27FC236}">
              <a16:creationId xmlns:a16="http://schemas.microsoft.com/office/drawing/2014/main" id="{911510D3-9715-D641-A601-DA97513475F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9525</xdr:colOff>
      <xdr:row>17</xdr:row>
      <xdr:rowOff>9525</xdr:rowOff>
    </xdr:to>
    <xdr:pic>
      <xdr:nvPicPr>
        <xdr:cNvPr id="11" name="Picture 10" descr="http://www.abs.gov.au/icons/ecblank.gif">
          <a:extLst>
            <a:ext uri="{FF2B5EF4-FFF2-40B4-BE49-F238E27FC236}">
              <a16:creationId xmlns:a16="http://schemas.microsoft.com/office/drawing/2014/main" id="{731BB2C5-5D9F-4342-BC30-5146E9192F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17</xdr:row>
      <xdr:rowOff>0</xdr:rowOff>
    </xdr:from>
    <xdr:to>
      <xdr:col>3</xdr:col>
      <xdr:colOff>9525</xdr:colOff>
      <xdr:row>17</xdr:row>
      <xdr:rowOff>9525</xdr:rowOff>
    </xdr:to>
    <xdr:pic>
      <xdr:nvPicPr>
        <xdr:cNvPr id="12" name="Picture 11" descr="http://www.abs.gov.au/icons/ecblank.gif">
          <a:extLst>
            <a:ext uri="{FF2B5EF4-FFF2-40B4-BE49-F238E27FC236}">
              <a16:creationId xmlns:a16="http://schemas.microsoft.com/office/drawing/2014/main" id="{78114F13-C836-2849-BF34-8FE8667F90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17</xdr:row>
      <xdr:rowOff>0</xdr:rowOff>
    </xdr:from>
    <xdr:to>
      <xdr:col>4</xdr:col>
      <xdr:colOff>9525</xdr:colOff>
      <xdr:row>17</xdr:row>
      <xdr:rowOff>9525</xdr:rowOff>
    </xdr:to>
    <xdr:pic>
      <xdr:nvPicPr>
        <xdr:cNvPr id="13" name="Picture 12" descr="http://www.abs.gov.au/icons/ecblank.gif">
          <a:extLst>
            <a:ext uri="{FF2B5EF4-FFF2-40B4-BE49-F238E27FC236}">
              <a16:creationId xmlns:a16="http://schemas.microsoft.com/office/drawing/2014/main" id="{459C60C3-FF87-014C-B483-B79C911739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02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17</xdr:row>
      <xdr:rowOff>0</xdr:rowOff>
    </xdr:from>
    <xdr:to>
      <xdr:col>5</xdr:col>
      <xdr:colOff>9525</xdr:colOff>
      <xdr:row>17</xdr:row>
      <xdr:rowOff>9525</xdr:rowOff>
    </xdr:to>
    <xdr:pic>
      <xdr:nvPicPr>
        <xdr:cNvPr id="14" name="Picture 13" descr="http://www.abs.gov.au/icons/ecblank.gif">
          <a:extLst>
            <a:ext uri="{FF2B5EF4-FFF2-40B4-BE49-F238E27FC236}">
              <a16:creationId xmlns:a16="http://schemas.microsoft.com/office/drawing/2014/main" id="{121FDB57-E768-D84F-987E-B64AA9FB15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17</xdr:row>
      <xdr:rowOff>0</xdr:rowOff>
    </xdr:from>
    <xdr:to>
      <xdr:col>5</xdr:col>
      <xdr:colOff>9525</xdr:colOff>
      <xdr:row>17</xdr:row>
      <xdr:rowOff>9525</xdr:rowOff>
    </xdr:to>
    <xdr:pic>
      <xdr:nvPicPr>
        <xdr:cNvPr id="15" name="Picture 14" descr="http://www.abs.gov.au/icons/ecblank.gif">
          <a:extLst>
            <a:ext uri="{FF2B5EF4-FFF2-40B4-BE49-F238E27FC236}">
              <a16:creationId xmlns:a16="http://schemas.microsoft.com/office/drawing/2014/main" id="{B08DD8F6-A991-7B41-A4BC-CF6163EED7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9525</xdr:colOff>
      <xdr:row>17</xdr:row>
      <xdr:rowOff>9525</xdr:rowOff>
    </xdr:to>
    <xdr:pic>
      <xdr:nvPicPr>
        <xdr:cNvPr id="16" name="Picture 15" descr="http://www.abs.gov.au/icons/ecblank.gif">
          <a:extLst>
            <a:ext uri="{FF2B5EF4-FFF2-40B4-BE49-F238E27FC236}">
              <a16:creationId xmlns:a16="http://schemas.microsoft.com/office/drawing/2014/main" id="{F6C3E2DE-41C8-C649-A33C-E96ACA1356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9525</xdr:colOff>
      <xdr:row>17</xdr:row>
      <xdr:rowOff>9525</xdr:rowOff>
    </xdr:to>
    <xdr:pic>
      <xdr:nvPicPr>
        <xdr:cNvPr id="17" name="Picture 16" descr="http://www.abs.gov.au/icons/ecblank.gif">
          <a:extLst>
            <a:ext uri="{FF2B5EF4-FFF2-40B4-BE49-F238E27FC236}">
              <a16:creationId xmlns:a16="http://schemas.microsoft.com/office/drawing/2014/main" id="{97438863-5B48-8C4B-8E4D-82122A0DF3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9525</xdr:colOff>
      <xdr:row>17</xdr:row>
      <xdr:rowOff>9525</xdr:rowOff>
    </xdr:to>
    <xdr:pic>
      <xdr:nvPicPr>
        <xdr:cNvPr id="18" name="Picture 17" descr="http://www.abs.gov.au/icons/ecblank.gif">
          <a:extLst>
            <a:ext uri="{FF2B5EF4-FFF2-40B4-BE49-F238E27FC236}">
              <a16:creationId xmlns:a16="http://schemas.microsoft.com/office/drawing/2014/main" id="{CBDC5D59-81D2-3448-AD18-EE6ADB915DC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9525</xdr:colOff>
      <xdr:row>17</xdr:row>
      <xdr:rowOff>9525</xdr:rowOff>
    </xdr:to>
    <xdr:pic>
      <xdr:nvPicPr>
        <xdr:cNvPr id="19" name="Picture 18" descr="http://www.abs.gov.au/icons/ecblank.gif">
          <a:extLst>
            <a:ext uri="{FF2B5EF4-FFF2-40B4-BE49-F238E27FC236}">
              <a16:creationId xmlns:a16="http://schemas.microsoft.com/office/drawing/2014/main" id="{74762237-2FEA-A844-8404-1D3A5A3A48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9525</xdr:colOff>
      <xdr:row>17</xdr:row>
      <xdr:rowOff>9525</xdr:rowOff>
    </xdr:to>
    <xdr:pic>
      <xdr:nvPicPr>
        <xdr:cNvPr id="20" name="Picture 19" descr="http://www.abs.gov.au/icons/ecblank.gif">
          <a:extLst>
            <a:ext uri="{FF2B5EF4-FFF2-40B4-BE49-F238E27FC236}">
              <a16:creationId xmlns:a16="http://schemas.microsoft.com/office/drawing/2014/main" id="{F2D32999-D732-3848-A40A-53E8B9B5E4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17</xdr:row>
      <xdr:rowOff>0</xdr:rowOff>
    </xdr:from>
    <xdr:to>
      <xdr:col>3</xdr:col>
      <xdr:colOff>9525</xdr:colOff>
      <xdr:row>17</xdr:row>
      <xdr:rowOff>9525</xdr:rowOff>
    </xdr:to>
    <xdr:pic>
      <xdr:nvPicPr>
        <xdr:cNvPr id="21" name="Picture 20" descr="http://www.abs.gov.au/icons/ecblank.gif">
          <a:extLst>
            <a:ext uri="{FF2B5EF4-FFF2-40B4-BE49-F238E27FC236}">
              <a16:creationId xmlns:a16="http://schemas.microsoft.com/office/drawing/2014/main" id="{385F3F57-8720-EC44-BB1E-75ACFF542F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17</xdr:row>
      <xdr:rowOff>0</xdr:rowOff>
    </xdr:from>
    <xdr:to>
      <xdr:col>4</xdr:col>
      <xdr:colOff>9525</xdr:colOff>
      <xdr:row>17</xdr:row>
      <xdr:rowOff>9525</xdr:rowOff>
    </xdr:to>
    <xdr:pic>
      <xdr:nvPicPr>
        <xdr:cNvPr id="22" name="Picture 21" descr="http://www.abs.gov.au/icons/ecblank.gif">
          <a:extLst>
            <a:ext uri="{FF2B5EF4-FFF2-40B4-BE49-F238E27FC236}">
              <a16:creationId xmlns:a16="http://schemas.microsoft.com/office/drawing/2014/main" id="{11E0650F-662D-0344-A1A3-E7FC5CEC4F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02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17</xdr:row>
      <xdr:rowOff>0</xdr:rowOff>
    </xdr:from>
    <xdr:to>
      <xdr:col>5</xdr:col>
      <xdr:colOff>9525</xdr:colOff>
      <xdr:row>17</xdr:row>
      <xdr:rowOff>9525</xdr:rowOff>
    </xdr:to>
    <xdr:pic>
      <xdr:nvPicPr>
        <xdr:cNvPr id="23" name="Picture 22" descr="http://www.abs.gov.au/icons/ecblank.gif">
          <a:extLst>
            <a:ext uri="{FF2B5EF4-FFF2-40B4-BE49-F238E27FC236}">
              <a16:creationId xmlns:a16="http://schemas.microsoft.com/office/drawing/2014/main" id="{5F6A6899-11F8-F14C-9711-FF4BA80B36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17</xdr:row>
      <xdr:rowOff>0</xdr:rowOff>
    </xdr:from>
    <xdr:to>
      <xdr:col>5</xdr:col>
      <xdr:colOff>9525</xdr:colOff>
      <xdr:row>17</xdr:row>
      <xdr:rowOff>9525</xdr:rowOff>
    </xdr:to>
    <xdr:pic>
      <xdr:nvPicPr>
        <xdr:cNvPr id="24" name="Picture 23" descr="http://www.abs.gov.au/icons/ecblank.gif">
          <a:extLst>
            <a:ext uri="{FF2B5EF4-FFF2-40B4-BE49-F238E27FC236}">
              <a16:creationId xmlns:a16="http://schemas.microsoft.com/office/drawing/2014/main" id="{0E7DBB90-1712-034B-B8D6-ECE23E1DE9A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9525</xdr:colOff>
      <xdr:row>17</xdr:row>
      <xdr:rowOff>9525</xdr:rowOff>
    </xdr:to>
    <xdr:pic>
      <xdr:nvPicPr>
        <xdr:cNvPr id="25" name="Picture 24" descr="http://www.abs.gov.au/icons/ecblank.gif">
          <a:extLst>
            <a:ext uri="{FF2B5EF4-FFF2-40B4-BE49-F238E27FC236}">
              <a16:creationId xmlns:a16="http://schemas.microsoft.com/office/drawing/2014/main" id="{C2F98EB2-3C66-1F43-8CA1-4EFEFAC40C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9525</xdr:colOff>
      <xdr:row>17</xdr:row>
      <xdr:rowOff>9525</xdr:rowOff>
    </xdr:to>
    <xdr:pic>
      <xdr:nvPicPr>
        <xdr:cNvPr id="26" name="Picture 25" descr="http://www.abs.gov.au/icons/ecblank.gif">
          <a:extLst>
            <a:ext uri="{FF2B5EF4-FFF2-40B4-BE49-F238E27FC236}">
              <a16:creationId xmlns:a16="http://schemas.microsoft.com/office/drawing/2014/main" id="{F5367C6B-239B-AB4B-A8A3-AA72CCC4A1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9525</xdr:colOff>
      <xdr:row>17</xdr:row>
      <xdr:rowOff>9525</xdr:rowOff>
    </xdr:to>
    <xdr:pic>
      <xdr:nvPicPr>
        <xdr:cNvPr id="27" name="Picture 26" descr="http://www.abs.gov.au/icons/ecblank.gif">
          <a:extLst>
            <a:ext uri="{FF2B5EF4-FFF2-40B4-BE49-F238E27FC236}">
              <a16:creationId xmlns:a16="http://schemas.microsoft.com/office/drawing/2014/main" id="{1DF01E55-7CCC-474B-8652-1939C522EC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9525</xdr:colOff>
      <xdr:row>17</xdr:row>
      <xdr:rowOff>9525</xdr:rowOff>
    </xdr:to>
    <xdr:pic>
      <xdr:nvPicPr>
        <xdr:cNvPr id="28" name="Picture 27" descr="http://www.abs.gov.au/icons/ecblank.gif">
          <a:extLst>
            <a:ext uri="{FF2B5EF4-FFF2-40B4-BE49-F238E27FC236}">
              <a16:creationId xmlns:a16="http://schemas.microsoft.com/office/drawing/2014/main" id="{1E132C4E-F3A3-474B-AC10-531AF40696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9525</xdr:colOff>
      <xdr:row>17</xdr:row>
      <xdr:rowOff>9525</xdr:rowOff>
    </xdr:to>
    <xdr:pic>
      <xdr:nvPicPr>
        <xdr:cNvPr id="29" name="Picture 28" descr="http://www.abs.gov.au/icons/ecblank.gif">
          <a:extLst>
            <a:ext uri="{FF2B5EF4-FFF2-40B4-BE49-F238E27FC236}">
              <a16:creationId xmlns:a16="http://schemas.microsoft.com/office/drawing/2014/main" id="{09204E6A-2395-4544-B6EC-A16C484318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9525</xdr:colOff>
      <xdr:row>17</xdr:row>
      <xdr:rowOff>9525</xdr:rowOff>
    </xdr:to>
    <xdr:pic>
      <xdr:nvPicPr>
        <xdr:cNvPr id="30" name="Picture 29" descr="http://www.abs.gov.au/icons/ecblank.gif">
          <a:extLst>
            <a:ext uri="{FF2B5EF4-FFF2-40B4-BE49-F238E27FC236}">
              <a16:creationId xmlns:a16="http://schemas.microsoft.com/office/drawing/2014/main" id="{AEF559AB-6FFA-814F-80CB-3B58705731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17</xdr:row>
      <xdr:rowOff>0</xdr:rowOff>
    </xdr:from>
    <xdr:to>
      <xdr:col>3</xdr:col>
      <xdr:colOff>9525</xdr:colOff>
      <xdr:row>17</xdr:row>
      <xdr:rowOff>9525</xdr:rowOff>
    </xdr:to>
    <xdr:pic>
      <xdr:nvPicPr>
        <xdr:cNvPr id="31" name="Picture 30" descr="http://www.abs.gov.au/icons/ecblank.gif">
          <a:extLst>
            <a:ext uri="{FF2B5EF4-FFF2-40B4-BE49-F238E27FC236}">
              <a16:creationId xmlns:a16="http://schemas.microsoft.com/office/drawing/2014/main" id="{910034C2-D510-4444-83BA-D730A4E33D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17</xdr:row>
      <xdr:rowOff>0</xdr:rowOff>
    </xdr:from>
    <xdr:to>
      <xdr:col>4</xdr:col>
      <xdr:colOff>9525</xdr:colOff>
      <xdr:row>17</xdr:row>
      <xdr:rowOff>9525</xdr:rowOff>
    </xdr:to>
    <xdr:pic>
      <xdr:nvPicPr>
        <xdr:cNvPr id="32" name="Picture 31" descr="http://www.abs.gov.au/icons/ecblank.gif">
          <a:extLst>
            <a:ext uri="{FF2B5EF4-FFF2-40B4-BE49-F238E27FC236}">
              <a16:creationId xmlns:a16="http://schemas.microsoft.com/office/drawing/2014/main" id="{69878A90-54CE-C745-8D23-5367DDC4ACB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02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17</xdr:row>
      <xdr:rowOff>0</xdr:rowOff>
    </xdr:from>
    <xdr:to>
      <xdr:col>5</xdr:col>
      <xdr:colOff>9525</xdr:colOff>
      <xdr:row>17</xdr:row>
      <xdr:rowOff>9525</xdr:rowOff>
    </xdr:to>
    <xdr:pic>
      <xdr:nvPicPr>
        <xdr:cNvPr id="33" name="Picture 32" descr="http://www.abs.gov.au/icons/ecblank.gif">
          <a:extLst>
            <a:ext uri="{FF2B5EF4-FFF2-40B4-BE49-F238E27FC236}">
              <a16:creationId xmlns:a16="http://schemas.microsoft.com/office/drawing/2014/main" id="{2BEB27B9-DC58-4843-81A7-9EA263E3B6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17</xdr:row>
      <xdr:rowOff>0</xdr:rowOff>
    </xdr:from>
    <xdr:to>
      <xdr:col>5</xdr:col>
      <xdr:colOff>9525</xdr:colOff>
      <xdr:row>17</xdr:row>
      <xdr:rowOff>9525</xdr:rowOff>
    </xdr:to>
    <xdr:pic>
      <xdr:nvPicPr>
        <xdr:cNvPr id="34" name="Picture 33" descr="http://www.abs.gov.au/icons/ecblank.gif">
          <a:extLst>
            <a:ext uri="{FF2B5EF4-FFF2-40B4-BE49-F238E27FC236}">
              <a16:creationId xmlns:a16="http://schemas.microsoft.com/office/drawing/2014/main" id="{E522BB0F-72FC-DB4D-A5A8-7E6BA037AA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9525</xdr:colOff>
      <xdr:row>17</xdr:row>
      <xdr:rowOff>9525</xdr:rowOff>
    </xdr:to>
    <xdr:pic>
      <xdr:nvPicPr>
        <xdr:cNvPr id="35" name="Picture 34" descr="http://www.abs.gov.au/icons/ecblank.gif">
          <a:extLst>
            <a:ext uri="{FF2B5EF4-FFF2-40B4-BE49-F238E27FC236}">
              <a16:creationId xmlns:a16="http://schemas.microsoft.com/office/drawing/2014/main" id="{7776AA52-6490-0B4C-9EAE-AE90884F538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9525</xdr:colOff>
      <xdr:row>17</xdr:row>
      <xdr:rowOff>9525</xdr:rowOff>
    </xdr:to>
    <xdr:pic>
      <xdr:nvPicPr>
        <xdr:cNvPr id="36" name="Picture 35" descr="http://www.abs.gov.au/icons/ecblank.gif">
          <a:extLst>
            <a:ext uri="{FF2B5EF4-FFF2-40B4-BE49-F238E27FC236}">
              <a16:creationId xmlns:a16="http://schemas.microsoft.com/office/drawing/2014/main" id="{DD1247ED-8F94-AD41-B463-B28AE6FAC5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9525</xdr:colOff>
      <xdr:row>17</xdr:row>
      <xdr:rowOff>9525</xdr:rowOff>
    </xdr:to>
    <xdr:pic>
      <xdr:nvPicPr>
        <xdr:cNvPr id="37" name="Picture 36" descr="http://www.abs.gov.au/icons/ecblank.gif">
          <a:extLst>
            <a:ext uri="{FF2B5EF4-FFF2-40B4-BE49-F238E27FC236}">
              <a16:creationId xmlns:a16="http://schemas.microsoft.com/office/drawing/2014/main" id="{E83F6A77-1F07-8B47-A0D3-B76DD67EB4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9525</xdr:colOff>
      <xdr:row>17</xdr:row>
      <xdr:rowOff>9525</xdr:rowOff>
    </xdr:to>
    <xdr:pic>
      <xdr:nvPicPr>
        <xdr:cNvPr id="38" name="Picture 37" descr="http://www.abs.gov.au/icons/ecblank.gif">
          <a:extLst>
            <a:ext uri="{FF2B5EF4-FFF2-40B4-BE49-F238E27FC236}">
              <a16:creationId xmlns:a16="http://schemas.microsoft.com/office/drawing/2014/main" id="{EE2D70B7-5F0C-A449-970D-D1E8999B81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9525</xdr:colOff>
      <xdr:row>17</xdr:row>
      <xdr:rowOff>9525</xdr:rowOff>
    </xdr:to>
    <xdr:pic>
      <xdr:nvPicPr>
        <xdr:cNvPr id="39" name="Picture 38" descr="http://www.abs.gov.au/icons/ecblank.gif">
          <a:extLst>
            <a:ext uri="{FF2B5EF4-FFF2-40B4-BE49-F238E27FC236}">
              <a16:creationId xmlns:a16="http://schemas.microsoft.com/office/drawing/2014/main" id="{D2A603DF-AF78-1C42-986B-256D1F12E2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9525</xdr:colOff>
      <xdr:row>17</xdr:row>
      <xdr:rowOff>9525</xdr:rowOff>
    </xdr:to>
    <xdr:pic>
      <xdr:nvPicPr>
        <xdr:cNvPr id="40" name="Picture 39" descr="http://www.abs.gov.au/icons/ecblank.gif">
          <a:extLst>
            <a:ext uri="{FF2B5EF4-FFF2-40B4-BE49-F238E27FC236}">
              <a16:creationId xmlns:a16="http://schemas.microsoft.com/office/drawing/2014/main" id="{57AFE8A9-1D73-A246-898F-A5E05F8BA2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17</xdr:row>
      <xdr:rowOff>0</xdr:rowOff>
    </xdr:from>
    <xdr:to>
      <xdr:col>3</xdr:col>
      <xdr:colOff>9525</xdr:colOff>
      <xdr:row>17</xdr:row>
      <xdr:rowOff>9525</xdr:rowOff>
    </xdr:to>
    <xdr:pic>
      <xdr:nvPicPr>
        <xdr:cNvPr id="41" name="Picture 40" descr="http://www.abs.gov.au/icons/ecblank.gif">
          <a:extLst>
            <a:ext uri="{FF2B5EF4-FFF2-40B4-BE49-F238E27FC236}">
              <a16:creationId xmlns:a16="http://schemas.microsoft.com/office/drawing/2014/main" id="{BD52C18C-0DA0-A745-BB65-D3B3791137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17</xdr:row>
      <xdr:rowOff>0</xdr:rowOff>
    </xdr:from>
    <xdr:to>
      <xdr:col>4</xdr:col>
      <xdr:colOff>9525</xdr:colOff>
      <xdr:row>17</xdr:row>
      <xdr:rowOff>9525</xdr:rowOff>
    </xdr:to>
    <xdr:pic>
      <xdr:nvPicPr>
        <xdr:cNvPr id="42" name="Picture 41" descr="http://www.abs.gov.au/icons/ecblank.gif">
          <a:extLst>
            <a:ext uri="{FF2B5EF4-FFF2-40B4-BE49-F238E27FC236}">
              <a16:creationId xmlns:a16="http://schemas.microsoft.com/office/drawing/2014/main" id="{6EFDE038-D825-E74C-82CE-6FA538EFA9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02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17</xdr:row>
      <xdr:rowOff>0</xdr:rowOff>
    </xdr:from>
    <xdr:to>
      <xdr:col>5</xdr:col>
      <xdr:colOff>9525</xdr:colOff>
      <xdr:row>17</xdr:row>
      <xdr:rowOff>9525</xdr:rowOff>
    </xdr:to>
    <xdr:pic>
      <xdr:nvPicPr>
        <xdr:cNvPr id="43" name="Picture 42" descr="http://www.abs.gov.au/icons/ecblank.gif">
          <a:extLst>
            <a:ext uri="{FF2B5EF4-FFF2-40B4-BE49-F238E27FC236}">
              <a16:creationId xmlns:a16="http://schemas.microsoft.com/office/drawing/2014/main" id="{AB488D3A-61CD-AC4A-B488-639DCF4E28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17</xdr:row>
      <xdr:rowOff>0</xdr:rowOff>
    </xdr:from>
    <xdr:to>
      <xdr:col>5</xdr:col>
      <xdr:colOff>9525</xdr:colOff>
      <xdr:row>17</xdr:row>
      <xdr:rowOff>9525</xdr:rowOff>
    </xdr:to>
    <xdr:pic>
      <xdr:nvPicPr>
        <xdr:cNvPr id="44" name="Picture 43" descr="http://www.abs.gov.au/icons/ecblank.gif">
          <a:extLst>
            <a:ext uri="{FF2B5EF4-FFF2-40B4-BE49-F238E27FC236}">
              <a16:creationId xmlns:a16="http://schemas.microsoft.com/office/drawing/2014/main" id="{F7646650-A9F2-BB47-9F8D-21076303C6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9525</xdr:colOff>
      <xdr:row>17</xdr:row>
      <xdr:rowOff>9525</xdr:rowOff>
    </xdr:to>
    <xdr:pic>
      <xdr:nvPicPr>
        <xdr:cNvPr id="45" name="Picture 44" descr="http://www.abs.gov.au/icons/ecblank.gif">
          <a:extLst>
            <a:ext uri="{FF2B5EF4-FFF2-40B4-BE49-F238E27FC236}">
              <a16:creationId xmlns:a16="http://schemas.microsoft.com/office/drawing/2014/main" id="{70692101-6D60-384E-A3DA-7DC0AF4A22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9525</xdr:colOff>
      <xdr:row>17</xdr:row>
      <xdr:rowOff>9525</xdr:rowOff>
    </xdr:to>
    <xdr:pic>
      <xdr:nvPicPr>
        <xdr:cNvPr id="46" name="Picture 45" descr="http://www.abs.gov.au/icons/ecblank.gif">
          <a:extLst>
            <a:ext uri="{FF2B5EF4-FFF2-40B4-BE49-F238E27FC236}">
              <a16:creationId xmlns:a16="http://schemas.microsoft.com/office/drawing/2014/main" id="{A58C3BC5-87CF-9F4D-9286-89564C0336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9525</xdr:colOff>
      <xdr:row>17</xdr:row>
      <xdr:rowOff>9525</xdr:rowOff>
    </xdr:to>
    <xdr:pic>
      <xdr:nvPicPr>
        <xdr:cNvPr id="47" name="Picture 46" descr="http://www.abs.gov.au/icons/ecblank.gif">
          <a:extLst>
            <a:ext uri="{FF2B5EF4-FFF2-40B4-BE49-F238E27FC236}">
              <a16:creationId xmlns:a16="http://schemas.microsoft.com/office/drawing/2014/main" id="{55D13945-91EE-5D43-8BFA-149144DFE5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9525</xdr:colOff>
      <xdr:row>17</xdr:row>
      <xdr:rowOff>9525</xdr:rowOff>
    </xdr:to>
    <xdr:pic>
      <xdr:nvPicPr>
        <xdr:cNvPr id="48" name="Picture 47" descr="http://www.abs.gov.au/icons/ecblank.gif">
          <a:extLst>
            <a:ext uri="{FF2B5EF4-FFF2-40B4-BE49-F238E27FC236}">
              <a16:creationId xmlns:a16="http://schemas.microsoft.com/office/drawing/2014/main" id="{6ECE1A9B-F098-D642-A1FB-5113295BE3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9525</xdr:colOff>
      <xdr:row>17</xdr:row>
      <xdr:rowOff>9525</xdr:rowOff>
    </xdr:to>
    <xdr:pic>
      <xdr:nvPicPr>
        <xdr:cNvPr id="49" name="Picture 48" descr="http://www.abs.gov.au/icons/ecblank.gif">
          <a:extLst>
            <a:ext uri="{FF2B5EF4-FFF2-40B4-BE49-F238E27FC236}">
              <a16:creationId xmlns:a16="http://schemas.microsoft.com/office/drawing/2014/main" id="{D84D1BA5-3B70-8B49-A276-D052168C25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9525</xdr:colOff>
      <xdr:row>17</xdr:row>
      <xdr:rowOff>9525</xdr:rowOff>
    </xdr:to>
    <xdr:pic>
      <xdr:nvPicPr>
        <xdr:cNvPr id="50" name="Picture 49" descr="http://www.abs.gov.au/icons/ecblank.gif">
          <a:extLst>
            <a:ext uri="{FF2B5EF4-FFF2-40B4-BE49-F238E27FC236}">
              <a16:creationId xmlns:a16="http://schemas.microsoft.com/office/drawing/2014/main" id="{4E66574F-31EA-174A-BEF8-59E7149B55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17</xdr:row>
      <xdr:rowOff>0</xdr:rowOff>
    </xdr:from>
    <xdr:to>
      <xdr:col>3</xdr:col>
      <xdr:colOff>9525</xdr:colOff>
      <xdr:row>17</xdr:row>
      <xdr:rowOff>9525</xdr:rowOff>
    </xdr:to>
    <xdr:pic>
      <xdr:nvPicPr>
        <xdr:cNvPr id="51" name="Picture 50" descr="http://www.abs.gov.au/icons/ecblank.gif">
          <a:extLst>
            <a:ext uri="{FF2B5EF4-FFF2-40B4-BE49-F238E27FC236}">
              <a16:creationId xmlns:a16="http://schemas.microsoft.com/office/drawing/2014/main" id="{E984FC5C-014E-634B-B026-EF4491BDFE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17</xdr:row>
      <xdr:rowOff>0</xdr:rowOff>
    </xdr:from>
    <xdr:to>
      <xdr:col>4</xdr:col>
      <xdr:colOff>9525</xdr:colOff>
      <xdr:row>17</xdr:row>
      <xdr:rowOff>9525</xdr:rowOff>
    </xdr:to>
    <xdr:pic>
      <xdr:nvPicPr>
        <xdr:cNvPr id="52" name="Picture 51" descr="http://www.abs.gov.au/icons/ecblank.gif">
          <a:extLst>
            <a:ext uri="{FF2B5EF4-FFF2-40B4-BE49-F238E27FC236}">
              <a16:creationId xmlns:a16="http://schemas.microsoft.com/office/drawing/2014/main" id="{2899B679-C56F-0E49-BD82-E343E6B98F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02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17</xdr:row>
      <xdr:rowOff>0</xdr:rowOff>
    </xdr:from>
    <xdr:to>
      <xdr:col>5</xdr:col>
      <xdr:colOff>9525</xdr:colOff>
      <xdr:row>17</xdr:row>
      <xdr:rowOff>9525</xdr:rowOff>
    </xdr:to>
    <xdr:pic>
      <xdr:nvPicPr>
        <xdr:cNvPr id="53" name="Picture 52" descr="http://www.abs.gov.au/icons/ecblank.gif">
          <a:extLst>
            <a:ext uri="{FF2B5EF4-FFF2-40B4-BE49-F238E27FC236}">
              <a16:creationId xmlns:a16="http://schemas.microsoft.com/office/drawing/2014/main" id="{E087CDB5-06BA-CE43-BB64-73D9B35614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17</xdr:row>
      <xdr:rowOff>0</xdr:rowOff>
    </xdr:from>
    <xdr:to>
      <xdr:col>5</xdr:col>
      <xdr:colOff>9525</xdr:colOff>
      <xdr:row>17</xdr:row>
      <xdr:rowOff>9525</xdr:rowOff>
    </xdr:to>
    <xdr:pic>
      <xdr:nvPicPr>
        <xdr:cNvPr id="54" name="Picture 53" descr="http://www.abs.gov.au/icons/ecblank.gif">
          <a:extLst>
            <a:ext uri="{FF2B5EF4-FFF2-40B4-BE49-F238E27FC236}">
              <a16:creationId xmlns:a16="http://schemas.microsoft.com/office/drawing/2014/main" id="{6EAE930D-9750-2E46-A6E3-FFCF7D387C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9525</xdr:colOff>
      <xdr:row>17</xdr:row>
      <xdr:rowOff>9525</xdr:rowOff>
    </xdr:to>
    <xdr:pic>
      <xdr:nvPicPr>
        <xdr:cNvPr id="55" name="Picture 54" descr="http://www.abs.gov.au/icons/ecblank.gif">
          <a:extLst>
            <a:ext uri="{FF2B5EF4-FFF2-40B4-BE49-F238E27FC236}">
              <a16:creationId xmlns:a16="http://schemas.microsoft.com/office/drawing/2014/main" id="{4B6AFB79-58DE-1247-B577-83F1DCFBE4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9525</xdr:colOff>
      <xdr:row>17</xdr:row>
      <xdr:rowOff>9525</xdr:rowOff>
    </xdr:to>
    <xdr:pic>
      <xdr:nvPicPr>
        <xdr:cNvPr id="56" name="Picture 55" descr="http://www.abs.gov.au/icons/ecblank.gif">
          <a:extLst>
            <a:ext uri="{FF2B5EF4-FFF2-40B4-BE49-F238E27FC236}">
              <a16:creationId xmlns:a16="http://schemas.microsoft.com/office/drawing/2014/main" id="{44A3819E-6461-A047-A4B1-FD5EE319F5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9525</xdr:colOff>
      <xdr:row>17</xdr:row>
      <xdr:rowOff>9525</xdr:rowOff>
    </xdr:to>
    <xdr:pic>
      <xdr:nvPicPr>
        <xdr:cNvPr id="57" name="Picture 56" descr="http://www.abs.gov.au/icons/ecblank.gif">
          <a:extLst>
            <a:ext uri="{FF2B5EF4-FFF2-40B4-BE49-F238E27FC236}">
              <a16:creationId xmlns:a16="http://schemas.microsoft.com/office/drawing/2014/main" id="{94FFB499-94C8-324D-A7C7-4361EA0B8C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9525</xdr:colOff>
      <xdr:row>17</xdr:row>
      <xdr:rowOff>9525</xdr:rowOff>
    </xdr:to>
    <xdr:pic>
      <xdr:nvPicPr>
        <xdr:cNvPr id="58" name="Picture 57" descr="http://www.abs.gov.au/icons/ecblank.gif">
          <a:extLst>
            <a:ext uri="{FF2B5EF4-FFF2-40B4-BE49-F238E27FC236}">
              <a16:creationId xmlns:a16="http://schemas.microsoft.com/office/drawing/2014/main" id="{855F1221-3265-064F-B648-2A5D7FD8E1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9525</xdr:colOff>
      <xdr:row>17</xdr:row>
      <xdr:rowOff>9525</xdr:rowOff>
    </xdr:to>
    <xdr:pic>
      <xdr:nvPicPr>
        <xdr:cNvPr id="59" name="Picture 58" descr="http://www.abs.gov.au/icons/ecblank.gif">
          <a:extLst>
            <a:ext uri="{FF2B5EF4-FFF2-40B4-BE49-F238E27FC236}">
              <a16:creationId xmlns:a16="http://schemas.microsoft.com/office/drawing/2014/main" id="{A45183EC-E4F1-BC4A-B148-CBC3AD1FA4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17</xdr:row>
      <xdr:rowOff>0</xdr:rowOff>
    </xdr:from>
    <xdr:to>
      <xdr:col>3</xdr:col>
      <xdr:colOff>9525</xdr:colOff>
      <xdr:row>17</xdr:row>
      <xdr:rowOff>9525</xdr:rowOff>
    </xdr:to>
    <xdr:pic>
      <xdr:nvPicPr>
        <xdr:cNvPr id="60" name="Picture 59" descr="http://www.abs.gov.au/icons/ecblank.gif">
          <a:extLst>
            <a:ext uri="{FF2B5EF4-FFF2-40B4-BE49-F238E27FC236}">
              <a16:creationId xmlns:a16="http://schemas.microsoft.com/office/drawing/2014/main" id="{075FB75A-FCB1-5C41-861A-60597E57ED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17</xdr:row>
      <xdr:rowOff>0</xdr:rowOff>
    </xdr:from>
    <xdr:to>
      <xdr:col>4</xdr:col>
      <xdr:colOff>9525</xdr:colOff>
      <xdr:row>17</xdr:row>
      <xdr:rowOff>9525</xdr:rowOff>
    </xdr:to>
    <xdr:pic>
      <xdr:nvPicPr>
        <xdr:cNvPr id="61" name="Picture 60" descr="http://www.abs.gov.au/icons/ecblank.gif">
          <a:extLst>
            <a:ext uri="{FF2B5EF4-FFF2-40B4-BE49-F238E27FC236}">
              <a16:creationId xmlns:a16="http://schemas.microsoft.com/office/drawing/2014/main" id="{63C2A89E-4588-974F-8A34-4FAF632551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02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17</xdr:row>
      <xdr:rowOff>0</xdr:rowOff>
    </xdr:from>
    <xdr:to>
      <xdr:col>5</xdr:col>
      <xdr:colOff>9525</xdr:colOff>
      <xdr:row>17</xdr:row>
      <xdr:rowOff>9525</xdr:rowOff>
    </xdr:to>
    <xdr:pic>
      <xdr:nvPicPr>
        <xdr:cNvPr id="62" name="Picture 61" descr="http://www.abs.gov.au/icons/ecblank.gif">
          <a:extLst>
            <a:ext uri="{FF2B5EF4-FFF2-40B4-BE49-F238E27FC236}">
              <a16:creationId xmlns:a16="http://schemas.microsoft.com/office/drawing/2014/main" id="{62D65C2C-9EB6-4649-863D-74BE924A1D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17</xdr:row>
      <xdr:rowOff>0</xdr:rowOff>
    </xdr:from>
    <xdr:to>
      <xdr:col>5</xdr:col>
      <xdr:colOff>9525</xdr:colOff>
      <xdr:row>17</xdr:row>
      <xdr:rowOff>9525</xdr:rowOff>
    </xdr:to>
    <xdr:pic>
      <xdr:nvPicPr>
        <xdr:cNvPr id="63" name="Picture 62" descr="http://www.abs.gov.au/icons/ecblank.gif">
          <a:extLst>
            <a:ext uri="{FF2B5EF4-FFF2-40B4-BE49-F238E27FC236}">
              <a16:creationId xmlns:a16="http://schemas.microsoft.com/office/drawing/2014/main" id="{02F9D966-E3E7-1A48-9F53-C5FB6138AA3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9525</xdr:colOff>
      <xdr:row>17</xdr:row>
      <xdr:rowOff>9525</xdr:rowOff>
    </xdr:to>
    <xdr:pic>
      <xdr:nvPicPr>
        <xdr:cNvPr id="64" name="Picture 63" descr="http://www.abs.gov.au/icons/ecblank.gif">
          <a:extLst>
            <a:ext uri="{FF2B5EF4-FFF2-40B4-BE49-F238E27FC236}">
              <a16:creationId xmlns:a16="http://schemas.microsoft.com/office/drawing/2014/main" id="{DA8C0D58-5927-6844-B32F-7556959F998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9525</xdr:colOff>
      <xdr:row>17</xdr:row>
      <xdr:rowOff>9525</xdr:rowOff>
    </xdr:to>
    <xdr:pic>
      <xdr:nvPicPr>
        <xdr:cNvPr id="65" name="Picture 64" descr="http://www.abs.gov.au/icons/ecblank.gif">
          <a:extLst>
            <a:ext uri="{FF2B5EF4-FFF2-40B4-BE49-F238E27FC236}">
              <a16:creationId xmlns:a16="http://schemas.microsoft.com/office/drawing/2014/main" id="{BBC3D27A-219B-284F-9573-35080E30356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9525</xdr:colOff>
      <xdr:row>17</xdr:row>
      <xdr:rowOff>9525</xdr:rowOff>
    </xdr:to>
    <xdr:pic>
      <xdr:nvPicPr>
        <xdr:cNvPr id="66" name="Picture 65" descr="http://www.abs.gov.au/icons/ecblank.gif">
          <a:extLst>
            <a:ext uri="{FF2B5EF4-FFF2-40B4-BE49-F238E27FC236}">
              <a16:creationId xmlns:a16="http://schemas.microsoft.com/office/drawing/2014/main" id="{E1BC7078-D075-A049-A1DA-2B3EA74504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9525</xdr:colOff>
      <xdr:row>17</xdr:row>
      <xdr:rowOff>9525</xdr:rowOff>
    </xdr:to>
    <xdr:pic>
      <xdr:nvPicPr>
        <xdr:cNvPr id="67" name="Picture 66" descr="http://www.abs.gov.au/icons/ecblank.gif">
          <a:extLst>
            <a:ext uri="{FF2B5EF4-FFF2-40B4-BE49-F238E27FC236}">
              <a16:creationId xmlns:a16="http://schemas.microsoft.com/office/drawing/2014/main" id="{22BB4026-52F7-1F4F-ABE7-B625B6ABAC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17</xdr:row>
      <xdr:rowOff>0</xdr:rowOff>
    </xdr:from>
    <xdr:to>
      <xdr:col>3</xdr:col>
      <xdr:colOff>9525</xdr:colOff>
      <xdr:row>17</xdr:row>
      <xdr:rowOff>9525</xdr:rowOff>
    </xdr:to>
    <xdr:pic>
      <xdr:nvPicPr>
        <xdr:cNvPr id="68" name="Picture 67" descr="http://www.abs.gov.au/icons/ecblank.gif">
          <a:extLst>
            <a:ext uri="{FF2B5EF4-FFF2-40B4-BE49-F238E27FC236}">
              <a16:creationId xmlns:a16="http://schemas.microsoft.com/office/drawing/2014/main" id="{17034CCB-2AB8-D244-AE5B-D9263F5781F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17</xdr:row>
      <xdr:rowOff>0</xdr:rowOff>
    </xdr:from>
    <xdr:to>
      <xdr:col>4</xdr:col>
      <xdr:colOff>9525</xdr:colOff>
      <xdr:row>17</xdr:row>
      <xdr:rowOff>9525</xdr:rowOff>
    </xdr:to>
    <xdr:pic>
      <xdr:nvPicPr>
        <xdr:cNvPr id="69" name="Picture 68" descr="http://www.abs.gov.au/icons/ecblank.gif">
          <a:extLst>
            <a:ext uri="{FF2B5EF4-FFF2-40B4-BE49-F238E27FC236}">
              <a16:creationId xmlns:a16="http://schemas.microsoft.com/office/drawing/2014/main" id="{B5E4EBDE-4997-4C41-9106-3B3F2BA8D0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02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17</xdr:row>
      <xdr:rowOff>0</xdr:rowOff>
    </xdr:from>
    <xdr:to>
      <xdr:col>5</xdr:col>
      <xdr:colOff>9525</xdr:colOff>
      <xdr:row>17</xdr:row>
      <xdr:rowOff>9525</xdr:rowOff>
    </xdr:to>
    <xdr:pic>
      <xdr:nvPicPr>
        <xdr:cNvPr id="70" name="Picture 69" descr="http://www.abs.gov.au/icons/ecblank.gif">
          <a:extLst>
            <a:ext uri="{FF2B5EF4-FFF2-40B4-BE49-F238E27FC236}">
              <a16:creationId xmlns:a16="http://schemas.microsoft.com/office/drawing/2014/main" id="{B294E2FF-29FD-634D-BF3B-4AC61AF3B4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17</xdr:row>
      <xdr:rowOff>0</xdr:rowOff>
    </xdr:from>
    <xdr:to>
      <xdr:col>5</xdr:col>
      <xdr:colOff>9525</xdr:colOff>
      <xdr:row>17</xdr:row>
      <xdr:rowOff>9525</xdr:rowOff>
    </xdr:to>
    <xdr:pic>
      <xdr:nvPicPr>
        <xdr:cNvPr id="71" name="Picture 70" descr="http://www.abs.gov.au/icons/ecblank.gif">
          <a:extLst>
            <a:ext uri="{FF2B5EF4-FFF2-40B4-BE49-F238E27FC236}">
              <a16:creationId xmlns:a16="http://schemas.microsoft.com/office/drawing/2014/main" id="{0E834E79-7295-0245-8A59-E1B7FA109F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9525</xdr:colOff>
      <xdr:row>17</xdr:row>
      <xdr:rowOff>9525</xdr:rowOff>
    </xdr:to>
    <xdr:pic>
      <xdr:nvPicPr>
        <xdr:cNvPr id="72" name="Picture 71" descr="http://www.abs.gov.au/icons/ecblank.gif">
          <a:extLst>
            <a:ext uri="{FF2B5EF4-FFF2-40B4-BE49-F238E27FC236}">
              <a16:creationId xmlns:a16="http://schemas.microsoft.com/office/drawing/2014/main" id="{6F706092-6512-4846-A0DD-13907A31E4C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9525</xdr:colOff>
      <xdr:row>17</xdr:row>
      <xdr:rowOff>9525</xdr:rowOff>
    </xdr:to>
    <xdr:pic>
      <xdr:nvPicPr>
        <xdr:cNvPr id="73" name="Picture 72" descr="http://www.abs.gov.au/icons/ecblank.gif">
          <a:extLst>
            <a:ext uri="{FF2B5EF4-FFF2-40B4-BE49-F238E27FC236}">
              <a16:creationId xmlns:a16="http://schemas.microsoft.com/office/drawing/2014/main" id="{C4C4ACE6-C20F-F649-AA3D-BD143E6B14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9525</xdr:colOff>
      <xdr:row>17</xdr:row>
      <xdr:rowOff>9525</xdr:rowOff>
    </xdr:to>
    <xdr:pic>
      <xdr:nvPicPr>
        <xdr:cNvPr id="74" name="Picture 73" descr="http://www.abs.gov.au/icons/ecblank.gif">
          <a:extLst>
            <a:ext uri="{FF2B5EF4-FFF2-40B4-BE49-F238E27FC236}">
              <a16:creationId xmlns:a16="http://schemas.microsoft.com/office/drawing/2014/main" id="{C379194C-ED50-F64E-B028-9C0CA5F4C6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17</xdr:row>
      <xdr:rowOff>0</xdr:rowOff>
    </xdr:from>
    <xdr:to>
      <xdr:col>3</xdr:col>
      <xdr:colOff>9525</xdr:colOff>
      <xdr:row>17</xdr:row>
      <xdr:rowOff>9525</xdr:rowOff>
    </xdr:to>
    <xdr:pic>
      <xdr:nvPicPr>
        <xdr:cNvPr id="75" name="Picture 74" descr="http://www.abs.gov.au/icons/ecblank.gif">
          <a:extLst>
            <a:ext uri="{FF2B5EF4-FFF2-40B4-BE49-F238E27FC236}">
              <a16:creationId xmlns:a16="http://schemas.microsoft.com/office/drawing/2014/main" id="{348E0AC0-E9C6-904A-BBF1-42F0E429B05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17</xdr:row>
      <xdr:rowOff>0</xdr:rowOff>
    </xdr:from>
    <xdr:to>
      <xdr:col>4</xdr:col>
      <xdr:colOff>9525</xdr:colOff>
      <xdr:row>17</xdr:row>
      <xdr:rowOff>9525</xdr:rowOff>
    </xdr:to>
    <xdr:pic>
      <xdr:nvPicPr>
        <xdr:cNvPr id="76" name="Picture 75" descr="http://www.abs.gov.au/icons/ecblank.gif">
          <a:extLst>
            <a:ext uri="{FF2B5EF4-FFF2-40B4-BE49-F238E27FC236}">
              <a16:creationId xmlns:a16="http://schemas.microsoft.com/office/drawing/2014/main" id="{2CBFD3B1-DCD3-9E4B-80B3-C6A148D354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02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17</xdr:row>
      <xdr:rowOff>0</xdr:rowOff>
    </xdr:from>
    <xdr:to>
      <xdr:col>5</xdr:col>
      <xdr:colOff>9525</xdr:colOff>
      <xdr:row>17</xdr:row>
      <xdr:rowOff>9525</xdr:rowOff>
    </xdr:to>
    <xdr:pic>
      <xdr:nvPicPr>
        <xdr:cNvPr id="77" name="Picture 76" descr="http://www.abs.gov.au/icons/ecblank.gif">
          <a:extLst>
            <a:ext uri="{FF2B5EF4-FFF2-40B4-BE49-F238E27FC236}">
              <a16:creationId xmlns:a16="http://schemas.microsoft.com/office/drawing/2014/main" id="{35B9228C-211E-B241-BD9D-BEF6359871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17</xdr:row>
      <xdr:rowOff>0</xdr:rowOff>
    </xdr:from>
    <xdr:to>
      <xdr:col>5</xdr:col>
      <xdr:colOff>9525</xdr:colOff>
      <xdr:row>17</xdr:row>
      <xdr:rowOff>9525</xdr:rowOff>
    </xdr:to>
    <xdr:pic>
      <xdr:nvPicPr>
        <xdr:cNvPr id="78" name="Picture 77" descr="http://www.abs.gov.au/icons/ecblank.gif">
          <a:extLst>
            <a:ext uri="{FF2B5EF4-FFF2-40B4-BE49-F238E27FC236}">
              <a16:creationId xmlns:a16="http://schemas.microsoft.com/office/drawing/2014/main" id="{8755FB1F-6ABC-F847-B10D-DC48B5EF29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9525</xdr:colOff>
      <xdr:row>17</xdr:row>
      <xdr:rowOff>9525</xdr:rowOff>
    </xdr:to>
    <xdr:pic>
      <xdr:nvPicPr>
        <xdr:cNvPr id="79" name="Picture 78" descr="http://www.abs.gov.au/icons/ecblank.gif">
          <a:extLst>
            <a:ext uri="{FF2B5EF4-FFF2-40B4-BE49-F238E27FC236}">
              <a16:creationId xmlns:a16="http://schemas.microsoft.com/office/drawing/2014/main" id="{2C8C5EAC-8523-A44D-B562-45DBD106BB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9525</xdr:colOff>
      <xdr:row>17</xdr:row>
      <xdr:rowOff>9525</xdr:rowOff>
    </xdr:to>
    <xdr:pic>
      <xdr:nvPicPr>
        <xdr:cNvPr id="80" name="Picture 79" descr="http://www.abs.gov.au/icons/ecblank.gif">
          <a:extLst>
            <a:ext uri="{FF2B5EF4-FFF2-40B4-BE49-F238E27FC236}">
              <a16:creationId xmlns:a16="http://schemas.microsoft.com/office/drawing/2014/main" id="{EE50FA62-3035-0A4F-A388-C93FF67342C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9525</xdr:colOff>
      <xdr:row>17</xdr:row>
      <xdr:rowOff>9525</xdr:rowOff>
    </xdr:to>
    <xdr:pic>
      <xdr:nvPicPr>
        <xdr:cNvPr id="81" name="Picture 80" descr="http://www.abs.gov.au/icons/ecblank.gif">
          <a:extLst>
            <a:ext uri="{FF2B5EF4-FFF2-40B4-BE49-F238E27FC236}">
              <a16:creationId xmlns:a16="http://schemas.microsoft.com/office/drawing/2014/main" id="{A60AFF58-CE5B-ED4D-BDE9-FAE680315F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9525</xdr:colOff>
      <xdr:row>17</xdr:row>
      <xdr:rowOff>9525</xdr:rowOff>
    </xdr:to>
    <xdr:pic>
      <xdr:nvPicPr>
        <xdr:cNvPr id="82" name="Picture 81" descr="http://www.abs.gov.au/icons/ecblank.gif">
          <a:extLst>
            <a:ext uri="{FF2B5EF4-FFF2-40B4-BE49-F238E27FC236}">
              <a16:creationId xmlns:a16="http://schemas.microsoft.com/office/drawing/2014/main" id="{2D7623CC-8AEC-1846-B471-3947C6C7D11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9525</xdr:colOff>
      <xdr:row>17</xdr:row>
      <xdr:rowOff>9525</xdr:rowOff>
    </xdr:to>
    <xdr:pic>
      <xdr:nvPicPr>
        <xdr:cNvPr id="83" name="Picture 82" descr="http://www.abs.gov.au/icons/ecblank.gif">
          <a:extLst>
            <a:ext uri="{FF2B5EF4-FFF2-40B4-BE49-F238E27FC236}">
              <a16:creationId xmlns:a16="http://schemas.microsoft.com/office/drawing/2014/main" id="{2E85C14F-8CEE-C64F-B2B9-9A8C3523B6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9525</xdr:colOff>
      <xdr:row>17</xdr:row>
      <xdr:rowOff>9525</xdr:rowOff>
    </xdr:to>
    <xdr:pic>
      <xdr:nvPicPr>
        <xdr:cNvPr id="84" name="Picture 83" descr="http://www.abs.gov.au/icons/ecblank.gif">
          <a:extLst>
            <a:ext uri="{FF2B5EF4-FFF2-40B4-BE49-F238E27FC236}">
              <a16:creationId xmlns:a16="http://schemas.microsoft.com/office/drawing/2014/main" id="{9BB9E475-62C4-A544-8109-8E587C0240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17</xdr:row>
      <xdr:rowOff>0</xdr:rowOff>
    </xdr:from>
    <xdr:to>
      <xdr:col>3</xdr:col>
      <xdr:colOff>9525</xdr:colOff>
      <xdr:row>17</xdr:row>
      <xdr:rowOff>9525</xdr:rowOff>
    </xdr:to>
    <xdr:pic>
      <xdr:nvPicPr>
        <xdr:cNvPr id="85" name="Picture 84" descr="http://www.abs.gov.au/icons/ecblank.gif">
          <a:extLst>
            <a:ext uri="{FF2B5EF4-FFF2-40B4-BE49-F238E27FC236}">
              <a16:creationId xmlns:a16="http://schemas.microsoft.com/office/drawing/2014/main" id="{F016EB47-BA2D-454B-8678-D43F38993CC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17</xdr:row>
      <xdr:rowOff>0</xdr:rowOff>
    </xdr:from>
    <xdr:to>
      <xdr:col>4</xdr:col>
      <xdr:colOff>9525</xdr:colOff>
      <xdr:row>17</xdr:row>
      <xdr:rowOff>9525</xdr:rowOff>
    </xdr:to>
    <xdr:pic>
      <xdr:nvPicPr>
        <xdr:cNvPr id="86" name="Picture 85" descr="http://www.abs.gov.au/icons/ecblank.gif">
          <a:extLst>
            <a:ext uri="{FF2B5EF4-FFF2-40B4-BE49-F238E27FC236}">
              <a16:creationId xmlns:a16="http://schemas.microsoft.com/office/drawing/2014/main" id="{390E6BE4-48BB-5D42-B469-EB95B4DBA4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02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17</xdr:row>
      <xdr:rowOff>0</xdr:rowOff>
    </xdr:from>
    <xdr:to>
      <xdr:col>5</xdr:col>
      <xdr:colOff>9525</xdr:colOff>
      <xdr:row>17</xdr:row>
      <xdr:rowOff>9525</xdr:rowOff>
    </xdr:to>
    <xdr:pic>
      <xdr:nvPicPr>
        <xdr:cNvPr id="87" name="Picture 86" descr="http://www.abs.gov.au/icons/ecblank.gif">
          <a:extLst>
            <a:ext uri="{FF2B5EF4-FFF2-40B4-BE49-F238E27FC236}">
              <a16:creationId xmlns:a16="http://schemas.microsoft.com/office/drawing/2014/main" id="{7C56D025-3352-944A-B00F-BBADC78322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17</xdr:row>
      <xdr:rowOff>0</xdr:rowOff>
    </xdr:from>
    <xdr:to>
      <xdr:col>5</xdr:col>
      <xdr:colOff>9525</xdr:colOff>
      <xdr:row>17</xdr:row>
      <xdr:rowOff>9525</xdr:rowOff>
    </xdr:to>
    <xdr:pic>
      <xdr:nvPicPr>
        <xdr:cNvPr id="88" name="Picture 87" descr="http://www.abs.gov.au/icons/ecblank.gif">
          <a:extLst>
            <a:ext uri="{FF2B5EF4-FFF2-40B4-BE49-F238E27FC236}">
              <a16:creationId xmlns:a16="http://schemas.microsoft.com/office/drawing/2014/main" id="{EE5E7F47-576D-9A46-83FA-9F89E12895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9525</xdr:colOff>
      <xdr:row>17</xdr:row>
      <xdr:rowOff>9525</xdr:rowOff>
    </xdr:to>
    <xdr:pic>
      <xdr:nvPicPr>
        <xdr:cNvPr id="89" name="Picture 88" descr="http://www.abs.gov.au/icons/ecblank.gif">
          <a:extLst>
            <a:ext uri="{FF2B5EF4-FFF2-40B4-BE49-F238E27FC236}">
              <a16:creationId xmlns:a16="http://schemas.microsoft.com/office/drawing/2014/main" id="{1ECA4B0D-912B-A84D-9329-882F2AD6CE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9525</xdr:colOff>
      <xdr:row>17</xdr:row>
      <xdr:rowOff>9525</xdr:rowOff>
    </xdr:to>
    <xdr:pic>
      <xdr:nvPicPr>
        <xdr:cNvPr id="90" name="Picture 89" descr="http://www.abs.gov.au/icons/ecblank.gif">
          <a:extLst>
            <a:ext uri="{FF2B5EF4-FFF2-40B4-BE49-F238E27FC236}">
              <a16:creationId xmlns:a16="http://schemas.microsoft.com/office/drawing/2014/main" id="{E76DFB0E-7E57-7F47-BB33-103177B1BF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9525</xdr:colOff>
      <xdr:row>17</xdr:row>
      <xdr:rowOff>9525</xdr:rowOff>
    </xdr:to>
    <xdr:pic>
      <xdr:nvPicPr>
        <xdr:cNvPr id="91" name="Picture 90" descr="http://www.abs.gov.au/icons/ecblank.gif">
          <a:extLst>
            <a:ext uri="{FF2B5EF4-FFF2-40B4-BE49-F238E27FC236}">
              <a16:creationId xmlns:a16="http://schemas.microsoft.com/office/drawing/2014/main" id="{DDD60D57-D4C1-9544-9EE6-44151FE17FB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9525</xdr:colOff>
      <xdr:row>17</xdr:row>
      <xdr:rowOff>9525</xdr:rowOff>
    </xdr:to>
    <xdr:pic>
      <xdr:nvPicPr>
        <xdr:cNvPr id="92" name="Picture 91" descr="http://www.abs.gov.au/icons/ecblank.gif">
          <a:extLst>
            <a:ext uri="{FF2B5EF4-FFF2-40B4-BE49-F238E27FC236}">
              <a16:creationId xmlns:a16="http://schemas.microsoft.com/office/drawing/2014/main" id="{7C8DB5F5-8322-B141-82CB-31A55C2099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9525</xdr:colOff>
      <xdr:row>17</xdr:row>
      <xdr:rowOff>9525</xdr:rowOff>
    </xdr:to>
    <xdr:pic>
      <xdr:nvPicPr>
        <xdr:cNvPr id="93" name="Picture 92" descr="http://www.abs.gov.au/icons/ecblank.gif">
          <a:extLst>
            <a:ext uri="{FF2B5EF4-FFF2-40B4-BE49-F238E27FC236}">
              <a16:creationId xmlns:a16="http://schemas.microsoft.com/office/drawing/2014/main" id="{4CCD5086-D5BF-7449-BBE3-C89529AAA8B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9525</xdr:colOff>
      <xdr:row>17</xdr:row>
      <xdr:rowOff>9525</xdr:rowOff>
    </xdr:to>
    <xdr:pic>
      <xdr:nvPicPr>
        <xdr:cNvPr id="94" name="Picture 93" descr="http://www.abs.gov.au/icons/ecblank.gif">
          <a:extLst>
            <a:ext uri="{FF2B5EF4-FFF2-40B4-BE49-F238E27FC236}">
              <a16:creationId xmlns:a16="http://schemas.microsoft.com/office/drawing/2014/main" id="{47D66138-BB7F-3941-9873-77EA6CD61A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17</xdr:row>
      <xdr:rowOff>0</xdr:rowOff>
    </xdr:from>
    <xdr:to>
      <xdr:col>3</xdr:col>
      <xdr:colOff>9525</xdr:colOff>
      <xdr:row>17</xdr:row>
      <xdr:rowOff>9525</xdr:rowOff>
    </xdr:to>
    <xdr:pic>
      <xdr:nvPicPr>
        <xdr:cNvPr id="95" name="Picture 94" descr="http://www.abs.gov.au/icons/ecblank.gif">
          <a:extLst>
            <a:ext uri="{FF2B5EF4-FFF2-40B4-BE49-F238E27FC236}">
              <a16:creationId xmlns:a16="http://schemas.microsoft.com/office/drawing/2014/main" id="{3B501935-CC6C-C742-B85C-C5843D5BA5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17</xdr:row>
      <xdr:rowOff>0</xdr:rowOff>
    </xdr:from>
    <xdr:to>
      <xdr:col>4</xdr:col>
      <xdr:colOff>9525</xdr:colOff>
      <xdr:row>17</xdr:row>
      <xdr:rowOff>9525</xdr:rowOff>
    </xdr:to>
    <xdr:pic>
      <xdr:nvPicPr>
        <xdr:cNvPr id="96" name="Picture 95" descr="http://www.abs.gov.au/icons/ecblank.gif">
          <a:extLst>
            <a:ext uri="{FF2B5EF4-FFF2-40B4-BE49-F238E27FC236}">
              <a16:creationId xmlns:a16="http://schemas.microsoft.com/office/drawing/2014/main" id="{07D75B27-1CDA-7E4F-BDEB-145B2C26AC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02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17</xdr:row>
      <xdr:rowOff>0</xdr:rowOff>
    </xdr:from>
    <xdr:to>
      <xdr:col>5</xdr:col>
      <xdr:colOff>9525</xdr:colOff>
      <xdr:row>17</xdr:row>
      <xdr:rowOff>9525</xdr:rowOff>
    </xdr:to>
    <xdr:pic>
      <xdr:nvPicPr>
        <xdr:cNvPr id="97" name="Picture 96" descr="http://www.abs.gov.au/icons/ecblank.gif">
          <a:extLst>
            <a:ext uri="{FF2B5EF4-FFF2-40B4-BE49-F238E27FC236}">
              <a16:creationId xmlns:a16="http://schemas.microsoft.com/office/drawing/2014/main" id="{61167290-C1BE-5449-93F4-C14B774A3C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17</xdr:row>
      <xdr:rowOff>0</xdr:rowOff>
    </xdr:from>
    <xdr:to>
      <xdr:col>5</xdr:col>
      <xdr:colOff>9525</xdr:colOff>
      <xdr:row>17</xdr:row>
      <xdr:rowOff>9525</xdr:rowOff>
    </xdr:to>
    <xdr:pic>
      <xdr:nvPicPr>
        <xdr:cNvPr id="98" name="Picture 97" descr="http://www.abs.gov.au/icons/ecblank.gif">
          <a:extLst>
            <a:ext uri="{FF2B5EF4-FFF2-40B4-BE49-F238E27FC236}">
              <a16:creationId xmlns:a16="http://schemas.microsoft.com/office/drawing/2014/main" id="{FF2BBA44-B003-EA4A-8935-679974BBFB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9525</xdr:colOff>
      <xdr:row>17</xdr:row>
      <xdr:rowOff>9525</xdr:rowOff>
    </xdr:to>
    <xdr:pic>
      <xdr:nvPicPr>
        <xdr:cNvPr id="99" name="Picture 98" descr="http://www.abs.gov.au/icons/ecblank.gif">
          <a:extLst>
            <a:ext uri="{FF2B5EF4-FFF2-40B4-BE49-F238E27FC236}">
              <a16:creationId xmlns:a16="http://schemas.microsoft.com/office/drawing/2014/main" id="{12B0B163-8E0B-0A4F-901E-90C73F4772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9525</xdr:colOff>
      <xdr:row>17</xdr:row>
      <xdr:rowOff>9525</xdr:rowOff>
    </xdr:to>
    <xdr:pic>
      <xdr:nvPicPr>
        <xdr:cNvPr id="100" name="Picture 99" descr="http://www.abs.gov.au/icons/ecblank.gif">
          <a:extLst>
            <a:ext uri="{FF2B5EF4-FFF2-40B4-BE49-F238E27FC236}">
              <a16:creationId xmlns:a16="http://schemas.microsoft.com/office/drawing/2014/main" id="{DBD4D1E7-A10B-7540-AAEA-4C3011ED6F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9525</xdr:colOff>
      <xdr:row>17</xdr:row>
      <xdr:rowOff>9525</xdr:rowOff>
    </xdr:to>
    <xdr:pic>
      <xdr:nvPicPr>
        <xdr:cNvPr id="101" name="Picture 100" descr="http://www.abs.gov.au/icons/ecblank.gif">
          <a:extLst>
            <a:ext uri="{FF2B5EF4-FFF2-40B4-BE49-F238E27FC236}">
              <a16:creationId xmlns:a16="http://schemas.microsoft.com/office/drawing/2014/main" id="{54486A2E-F091-234D-B71E-A0BD79D0F0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9525</xdr:colOff>
      <xdr:row>17</xdr:row>
      <xdr:rowOff>9525</xdr:rowOff>
    </xdr:to>
    <xdr:pic>
      <xdr:nvPicPr>
        <xdr:cNvPr id="102" name="Picture 101" descr="http://www.abs.gov.au/icons/ecblank.gif">
          <a:extLst>
            <a:ext uri="{FF2B5EF4-FFF2-40B4-BE49-F238E27FC236}">
              <a16:creationId xmlns:a16="http://schemas.microsoft.com/office/drawing/2014/main" id="{17230DDB-A663-1B4D-BF6E-6ECE94050A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9525</xdr:colOff>
      <xdr:row>17</xdr:row>
      <xdr:rowOff>9525</xdr:rowOff>
    </xdr:to>
    <xdr:pic>
      <xdr:nvPicPr>
        <xdr:cNvPr id="103" name="Picture 102" descr="http://www.abs.gov.au/icons/ecblank.gif">
          <a:extLst>
            <a:ext uri="{FF2B5EF4-FFF2-40B4-BE49-F238E27FC236}">
              <a16:creationId xmlns:a16="http://schemas.microsoft.com/office/drawing/2014/main" id="{799A73A5-F937-964C-881A-98C18C00FA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17</xdr:row>
      <xdr:rowOff>0</xdr:rowOff>
    </xdr:from>
    <xdr:to>
      <xdr:col>3</xdr:col>
      <xdr:colOff>9525</xdr:colOff>
      <xdr:row>17</xdr:row>
      <xdr:rowOff>9525</xdr:rowOff>
    </xdr:to>
    <xdr:pic>
      <xdr:nvPicPr>
        <xdr:cNvPr id="104" name="Picture 103" descr="http://www.abs.gov.au/icons/ecblank.gif">
          <a:extLst>
            <a:ext uri="{FF2B5EF4-FFF2-40B4-BE49-F238E27FC236}">
              <a16:creationId xmlns:a16="http://schemas.microsoft.com/office/drawing/2014/main" id="{241604D5-3E61-284A-A2E9-CDF6E2BAE4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17</xdr:row>
      <xdr:rowOff>0</xdr:rowOff>
    </xdr:from>
    <xdr:to>
      <xdr:col>4</xdr:col>
      <xdr:colOff>9525</xdr:colOff>
      <xdr:row>17</xdr:row>
      <xdr:rowOff>9525</xdr:rowOff>
    </xdr:to>
    <xdr:pic>
      <xdr:nvPicPr>
        <xdr:cNvPr id="105" name="Picture 104" descr="http://www.abs.gov.au/icons/ecblank.gif">
          <a:extLst>
            <a:ext uri="{FF2B5EF4-FFF2-40B4-BE49-F238E27FC236}">
              <a16:creationId xmlns:a16="http://schemas.microsoft.com/office/drawing/2014/main" id="{ECFBAC42-8327-9441-87A5-C835440626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02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17</xdr:row>
      <xdr:rowOff>0</xdr:rowOff>
    </xdr:from>
    <xdr:to>
      <xdr:col>5</xdr:col>
      <xdr:colOff>9525</xdr:colOff>
      <xdr:row>17</xdr:row>
      <xdr:rowOff>9525</xdr:rowOff>
    </xdr:to>
    <xdr:pic>
      <xdr:nvPicPr>
        <xdr:cNvPr id="106" name="Picture 105" descr="http://www.abs.gov.au/icons/ecblank.gif">
          <a:extLst>
            <a:ext uri="{FF2B5EF4-FFF2-40B4-BE49-F238E27FC236}">
              <a16:creationId xmlns:a16="http://schemas.microsoft.com/office/drawing/2014/main" id="{BE35539A-BCF8-9A45-BEA8-24845E22B6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17</xdr:row>
      <xdr:rowOff>0</xdr:rowOff>
    </xdr:from>
    <xdr:to>
      <xdr:col>5</xdr:col>
      <xdr:colOff>9525</xdr:colOff>
      <xdr:row>17</xdr:row>
      <xdr:rowOff>9525</xdr:rowOff>
    </xdr:to>
    <xdr:pic>
      <xdr:nvPicPr>
        <xdr:cNvPr id="107" name="Picture 106" descr="http://www.abs.gov.au/icons/ecblank.gif">
          <a:extLst>
            <a:ext uri="{FF2B5EF4-FFF2-40B4-BE49-F238E27FC236}">
              <a16:creationId xmlns:a16="http://schemas.microsoft.com/office/drawing/2014/main" id="{C48DE85B-A848-3C42-B0EC-A01D0E358CD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9525</xdr:colOff>
      <xdr:row>17</xdr:row>
      <xdr:rowOff>9525</xdr:rowOff>
    </xdr:to>
    <xdr:pic>
      <xdr:nvPicPr>
        <xdr:cNvPr id="108" name="Picture 107" descr="http://www.abs.gov.au/icons/ecblank.gif">
          <a:extLst>
            <a:ext uri="{FF2B5EF4-FFF2-40B4-BE49-F238E27FC236}">
              <a16:creationId xmlns:a16="http://schemas.microsoft.com/office/drawing/2014/main" id="{2B44D135-34A9-6349-9576-4E12A91642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9525</xdr:colOff>
      <xdr:row>17</xdr:row>
      <xdr:rowOff>9525</xdr:rowOff>
    </xdr:to>
    <xdr:pic>
      <xdr:nvPicPr>
        <xdr:cNvPr id="109" name="Picture 108" descr="http://www.abs.gov.au/icons/ecblank.gif">
          <a:extLst>
            <a:ext uri="{FF2B5EF4-FFF2-40B4-BE49-F238E27FC236}">
              <a16:creationId xmlns:a16="http://schemas.microsoft.com/office/drawing/2014/main" id="{5F421940-E0AF-8848-BD29-FE9600A1C9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9525</xdr:colOff>
      <xdr:row>17</xdr:row>
      <xdr:rowOff>9525</xdr:rowOff>
    </xdr:to>
    <xdr:pic>
      <xdr:nvPicPr>
        <xdr:cNvPr id="110" name="Picture 109" descr="http://www.abs.gov.au/icons/ecblank.gif">
          <a:extLst>
            <a:ext uri="{FF2B5EF4-FFF2-40B4-BE49-F238E27FC236}">
              <a16:creationId xmlns:a16="http://schemas.microsoft.com/office/drawing/2014/main" id="{57CCFBC3-8DBF-1B4D-BCF3-5E19D971FA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9525</xdr:colOff>
      <xdr:row>17</xdr:row>
      <xdr:rowOff>9525</xdr:rowOff>
    </xdr:to>
    <xdr:pic>
      <xdr:nvPicPr>
        <xdr:cNvPr id="111" name="Picture 110" descr="http://www.abs.gov.au/icons/ecblank.gif">
          <a:extLst>
            <a:ext uri="{FF2B5EF4-FFF2-40B4-BE49-F238E27FC236}">
              <a16:creationId xmlns:a16="http://schemas.microsoft.com/office/drawing/2014/main" id="{7E05BDCF-2CAC-1F4A-AB37-611CF40616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9525</xdr:colOff>
      <xdr:row>17</xdr:row>
      <xdr:rowOff>9525</xdr:rowOff>
    </xdr:to>
    <xdr:pic>
      <xdr:nvPicPr>
        <xdr:cNvPr id="112" name="Picture 111" descr="http://www.abs.gov.au/icons/ecblank.gif">
          <a:extLst>
            <a:ext uri="{FF2B5EF4-FFF2-40B4-BE49-F238E27FC236}">
              <a16:creationId xmlns:a16="http://schemas.microsoft.com/office/drawing/2014/main" id="{1CF67887-207C-1047-B933-21FC7EF0D2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9525</xdr:colOff>
      <xdr:row>17</xdr:row>
      <xdr:rowOff>9525</xdr:rowOff>
    </xdr:to>
    <xdr:pic>
      <xdr:nvPicPr>
        <xdr:cNvPr id="113" name="Picture 112" descr="http://www.abs.gov.au/icons/ecblank.gif">
          <a:extLst>
            <a:ext uri="{FF2B5EF4-FFF2-40B4-BE49-F238E27FC236}">
              <a16:creationId xmlns:a16="http://schemas.microsoft.com/office/drawing/2014/main" id="{B09C42BB-B102-494E-95D9-F37580C221F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17</xdr:row>
      <xdr:rowOff>0</xdr:rowOff>
    </xdr:from>
    <xdr:to>
      <xdr:col>3</xdr:col>
      <xdr:colOff>9525</xdr:colOff>
      <xdr:row>17</xdr:row>
      <xdr:rowOff>9525</xdr:rowOff>
    </xdr:to>
    <xdr:pic>
      <xdr:nvPicPr>
        <xdr:cNvPr id="114" name="Picture 113" descr="http://www.abs.gov.au/icons/ecblank.gif">
          <a:extLst>
            <a:ext uri="{FF2B5EF4-FFF2-40B4-BE49-F238E27FC236}">
              <a16:creationId xmlns:a16="http://schemas.microsoft.com/office/drawing/2014/main" id="{168172DC-411F-B747-A87A-BDD187930E5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17</xdr:row>
      <xdr:rowOff>0</xdr:rowOff>
    </xdr:from>
    <xdr:to>
      <xdr:col>4</xdr:col>
      <xdr:colOff>9525</xdr:colOff>
      <xdr:row>17</xdr:row>
      <xdr:rowOff>9525</xdr:rowOff>
    </xdr:to>
    <xdr:pic>
      <xdr:nvPicPr>
        <xdr:cNvPr id="115" name="Picture 114" descr="http://www.abs.gov.au/icons/ecblank.gif">
          <a:extLst>
            <a:ext uri="{FF2B5EF4-FFF2-40B4-BE49-F238E27FC236}">
              <a16:creationId xmlns:a16="http://schemas.microsoft.com/office/drawing/2014/main" id="{4862D868-0A1E-FA40-8C57-FDE2BBD081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02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17</xdr:row>
      <xdr:rowOff>0</xdr:rowOff>
    </xdr:from>
    <xdr:to>
      <xdr:col>5</xdr:col>
      <xdr:colOff>9525</xdr:colOff>
      <xdr:row>17</xdr:row>
      <xdr:rowOff>9525</xdr:rowOff>
    </xdr:to>
    <xdr:pic>
      <xdr:nvPicPr>
        <xdr:cNvPr id="116" name="Picture 115" descr="http://www.abs.gov.au/icons/ecblank.gif">
          <a:extLst>
            <a:ext uri="{FF2B5EF4-FFF2-40B4-BE49-F238E27FC236}">
              <a16:creationId xmlns:a16="http://schemas.microsoft.com/office/drawing/2014/main" id="{93DAC94F-BD29-B74B-A400-15889DFB1F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17</xdr:row>
      <xdr:rowOff>0</xdr:rowOff>
    </xdr:from>
    <xdr:to>
      <xdr:col>5</xdr:col>
      <xdr:colOff>9525</xdr:colOff>
      <xdr:row>17</xdr:row>
      <xdr:rowOff>9525</xdr:rowOff>
    </xdr:to>
    <xdr:pic>
      <xdr:nvPicPr>
        <xdr:cNvPr id="117" name="Picture 116" descr="http://www.abs.gov.au/icons/ecblank.gif">
          <a:extLst>
            <a:ext uri="{FF2B5EF4-FFF2-40B4-BE49-F238E27FC236}">
              <a16:creationId xmlns:a16="http://schemas.microsoft.com/office/drawing/2014/main" id="{B789EC44-0715-BE46-9B4F-224BBDCA79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9525</xdr:colOff>
      <xdr:row>17</xdr:row>
      <xdr:rowOff>9525</xdr:rowOff>
    </xdr:to>
    <xdr:pic>
      <xdr:nvPicPr>
        <xdr:cNvPr id="118" name="Picture 117" descr="http://www.abs.gov.au/icons/ecblank.gif">
          <a:extLst>
            <a:ext uri="{FF2B5EF4-FFF2-40B4-BE49-F238E27FC236}">
              <a16:creationId xmlns:a16="http://schemas.microsoft.com/office/drawing/2014/main" id="{9971DFFF-6904-2C4D-944A-7E4DD3AEF36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9525</xdr:colOff>
      <xdr:row>17</xdr:row>
      <xdr:rowOff>9525</xdr:rowOff>
    </xdr:to>
    <xdr:pic>
      <xdr:nvPicPr>
        <xdr:cNvPr id="119" name="Picture 118" descr="http://www.abs.gov.au/icons/ecblank.gif">
          <a:extLst>
            <a:ext uri="{FF2B5EF4-FFF2-40B4-BE49-F238E27FC236}">
              <a16:creationId xmlns:a16="http://schemas.microsoft.com/office/drawing/2014/main" id="{D98B27BE-F286-DA47-86BD-F59FEB00A4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9525</xdr:colOff>
      <xdr:row>17</xdr:row>
      <xdr:rowOff>9525</xdr:rowOff>
    </xdr:to>
    <xdr:pic>
      <xdr:nvPicPr>
        <xdr:cNvPr id="120" name="Picture 119" descr="http://www.abs.gov.au/icons/ecblank.gif">
          <a:extLst>
            <a:ext uri="{FF2B5EF4-FFF2-40B4-BE49-F238E27FC236}">
              <a16:creationId xmlns:a16="http://schemas.microsoft.com/office/drawing/2014/main" id="{3C1FA34D-49EC-EF45-8249-6887833933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9525</xdr:colOff>
      <xdr:row>17</xdr:row>
      <xdr:rowOff>9525</xdr:rowOff>
    </xdr:to>
    <xdr:pic>
      <xdr:nvPicPr>
        <xdr:cNvPr id="121" name="Picture 120" descr="http://www.abs.gov.au/icons/ecblank.gif">
          <a:extLst>
            <a:ext uri="{FF2B5EF4-FFF2-40B4-BE49-F238E27FC236}">
              <a16:creationId xmlns:a16="http://schemas.microsoft.com/office/drawing/2014/main" id="{5B878E38-452C-7E49-AE02-2E8E9D47E4B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9525</xdr:colOff>
      <xdr:row>17</xdr:row>
      <xdr:rowOff>9525</xdr:rowOff>
    </xdr:to>
    <xdr:pic>
      <xdr:nvPicPr>
        <xdr:cNvPr id="122" name="Picture 121" descr="http://www.abs.gov.au/icons/ecblank.gif">
          <a:extLst>
            <a:ext uri="{FF2B5EF4-FFF2-40B4-BE49-F238E27FC236}">
              <a16:creationId xmlns:a16="http://schemas.microsoft.com/office/drawing/2014/main" id="{67A64BAC-A903-BA45-8C23-C8A6799C04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9525</xdr:colOff>
      <xdr:row>17</xdr:row>
      <xdr:rowOff>9525</xdr:rowOff>
    </xdr:to>
    <xdr:pic>
      <xdr:nvPicPr>
        <xdr:cNvPr id="123" name="Picture 122" descr="http://www.abs.gov.au/icons/ecblank.gif">
          <a:extLst>
            <a:ext uri="{FF2B5EF4-FFF2-40B4-BE49-F238E27FC236}">
              <a16:creationId xmlns:a16="http://schemas.microsoft.com/office/drawing/2014/main" id="{46F86778-3F72-3445-8B7C-3052617104D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17</xdr:row>
      <xdr:rowOff>0</xdr:rowOff>
    </xdr:from>
    <xdr:to>
      <xdr:col>3</xdr:col>
      <xdr:colOff>9525</xdr:colOff>
      <xdr:row>17</xdr:row>
      <xdr:rowOff>9525</xdr:rowOff>
    </xdr:to>
    <xdr:pic>
      <xdr:nvPicPr>
        <xdr:cNvPr id="124" name="Picture 123" descr="http://www.abs.gov.au/icons/ecblank.gif">
          <a:extLst>
            <a:ext uri="{FF2B5EF4-FFF2-40B4-BE49-F238E27FC236}">
              <a16:creationId xmlns:a16="http://schemas.microsoft.com/office/drawing/2014/main" id="{4F9E0D9F-ED7F-A34E-AB38-113FF68B53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17</xdr:row>
      <xdr:rowOff>0</xdr:rowOff>
    </xdr:from>
    <xdr:to>
      <xdr:col>4</xdr:col>
      <xdr:colOff>9525</xdr:colOff>
      <xdr:row>17</xdr:row>
      <xdr:rowOff>9525</xdr:rowOff>
    </xdr:to>
    <xdr:pic>
      <xdr:nvPicPr>
        <xdr:cNvPr id="125" name="Picture 124" descr="http://www.abs.gov.au/icons/ecblank.gif">
          <a:extLst>
            <a:ext uri="{FF2B5EF4-FFF2-40B4-BE49-F238E27FC236}">
              <a16:creationId xmlns:a16="http://schemas.microsoft.com/office/drawing/2014/main" id="{9A1A4A7C-C95C-7549-ACE9-866648AC851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02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17</xdr:row>
      <xdr:rowOff>0</xdr:rowOff>
    </xdr:from>
    <xdr:to>
      <xdr:col>5</xdr:col>
      <xdr:colOff>9525</xdr:colOff>
      <xdr:row>17</xdr:row>
      <xdr:rowOff>9525</xdr:rowOff>
    </xdr:to>
    <xdr:pic>
      <xdr:nvPicPr>
        <xdr:cNvPr id="126" name="Picture 125" descr="http://www.abs.gov.au/icons/ecblank.gif">
          <a:extLst>
            <a:ext uri="{FF2B5EF4-FFF2-40B4-BE49-F238E27FC236}">
              <a16:creationId xmlns:a16="http://schemas.microsoft.com/office/drawing/2014/main" id="{96304992-FF49-F146-8EB1-D452C409DA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17</xdr:row>
      <xdr:rowOff>0</xdr:rowOff>
    </xdr:from>
    <xdr:to>
      <xdr:col>5</xdr:col>
      <xdr:colOff>9525</xdr:colOff>
      <xdr:row>17</xdr:row>
      <xdr:rowOff>9525</xdr:rowOff>
    </xdr:to>
    <xdr:pic>
      <xdr:nvPicPr>
        <xdr:cNvPr id="127" name="Picture 126" descr="http://www.abs.gov.au/icons/ecblank.gif">
          <a:extLst>
            <a:ext uri="{FF2B5EF4-FFF2-40B4-BE49-F238E27FC236}">
              <a16:creationId xmlns:a16="http://schemas.microsoft.com/office/drawing/2014/main" id="{F1DB6779-13A5-8844-95EE-E5AA0771C23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9525</xdr:colOff>
      <xdr:row>17</xdr:row>
      <xdr:rowOff>9525</xdr:rowOff>
    </xdr:to>
    <xdr:pic>
      <xdr:nvPicPr>
        <xdr:cNvPr id="128" name="Picture 127" descr="http://www.abs.gov.au/icons/ecblank.gif">
          <a:extLst>
            <a:ext uri="{FF2B5EF4-FFF2-40B4-BE49-F238E27FC236}">
              <a16:creationId xmlns:a16="http://schemas.microsoft.com/office/drawing/2014/main" id="{EF21815B-54B5-964D-8CB1-F15C352892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9525</xdr:colOff>
      <xdr:row>17</xdr:row>
      <xdr:rowOff>9525</xdr:rowOff>
    </xdr:to>
    <xdr:pic>
      <xdr:nvPicPr>
        <xdr:cNvPr id="129" name="Picture 128" descr="http://www.abs.gov.au/icons/ecblank.gif">
          <a:extLst>
            <a:ext uri="{FF2B5EF4-FFF2-40B4-BE49-F238E27FC236}">
              <a16:creationId xmlns:a16="http://schemas.microsoft.com/office/drawing/2014/main" id="{8BFB8AAA-ACFE-CD4F-8F37-8C2E07AA11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9525</xdr:colOff>
      <xdr:row>17</xdr:row>
      <xdr:rowOff>9525</xdr:rowOff>
    </xdr:to>
    <xdr:pic>
      <xdr:nvPicPr>
        <xdr:cNvPr id="130" name="Picture 129" descr="http://www.abs.gov.au/icons/ecblank.gif">
          <a:extLst>
            <a:ext uri="{FF2B5EF4-FFF2-40B4-BE49-F238E27FC236}">
              <a16:creationId xmlns:a16="http://schemas.microsoft.com/office/drawing/2014/main" id="{08F8CEE9-9F1F-1349-9723-D8A594203D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9525</xdr:colOff>
      <xdr:row>17</xdr:row>
      <xdr:rowOff>9525</xdr:rowOff>
    </xdr:to>
    <xdr:pic>
      <xdr:nvPicPr>
        <xdr:cNvPr id="131" name="Picture 130" descr="http://www.abs.gov.au/icons/ecblank.gif">
          <a:extLst>
            <a:ext uri="{FF2B5EF4-FFF2-40B4-BE49-F238E27FC236}">
              <a16:creationId xmlns:a16="http://schemas.microsoft.com/office/drawing/2014/main" id="{AF2D14C3-7342-5A44-99FC-62E94E3883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9525</xdr:colOff>
      <xdr:row>17</xdr:row>
      <xdr:rowOff>9525</xdr:rowOff>
    </xdr:to>
    <xdr:pic>
      <xdr:nvPicPr>
        <xdr:cNvPr id="132" name="Picture 131" descr="http://www.abs.gov.au/icons/ecblank.gif">
          <a:extLst>
            <a:ext uri="{FF2B5EF4-FFF2-40B4-BE49-F238E27FC236}">
              <a16:creationId xmlns:a16="http://schemas.microsoft.com/office/drawing/2014/main" id="{9CB196BF-9CF1-2F47-B3A0-7378450808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9525</xdr:colOff>
      <xdr:row>17</xdr:row>
      <xdr:rowOff>9525</xdr:rowOff>
    </xdr:to>
    <xdr:pic>
      <xdr:nvPicPr>
        <xdr:cNvPr id="133" name="Picture 132" descr="http://www.abs.gov.au/icons/ecblank.gif">
          <a:extLst>
            <a:ext uri="{FF2B5EF4-FFF2-40B4-BE49-F238E27FC236}">
              <a16:creationId xmlns:a16="http://schemas.microsoft.com/office/drawing/2014/main" id="{B59DC005-8BC2-3E4C-AA8F-C837FFD3C04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17</xdr:row>
      <xdr:rowOff>0</xdr:rowOff>
    </xdr:from>
    <xdr:to>
      <xdr:col>3</xdr:col>
      <xdr:colOff>9525</xdr:colOff>
      <xdr:row>17</xdr:row>
      <xdr:rowOff>9525</xdr:rowOff>
    </xdr:to>
    <xdr:pic>
      <xdr:nvPicPr>
        <xdr:cNvPr id="134" name="Picture 133" descr="http://www.abs.gov.au/icons/ecblank.gif">
          <a:extLst>
            <a:ext uri="{FF2B5EF4-FFF2-40B4-BE49-F238E27FC236}">
              <a16:creationId xmlns:a16="http://schemas.microsoft.com/office/drawing/2014/main" id="{78075F59-8C0D-9A42-92C8-EEBE062677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17</xdr:row>
      <xdr:rowOff>0</xdr:rowOff>
    </xdr:from>
    <xdr:to>
      <xdr:col>4</xdr:col>
      <xdr:colOff>9525</xdr:colOff>
      <xdr:row>17</xdr:row>
      <xdr:rowOff>9525</xdr:rowOff>
    </xdr:to>
    <xdr:pic>
      <xdr:nvPicPr>
        <xdr:cNvPr id="135" name="Picture 134" descr="http://www.abs.gov.au/icons/ecblank.gif">
          <a:extLst>
            <a:ext uri="{FF2B5EF4-FFF2-40B4-BE49-F238E27FC236}">
              <a16:creationId xmlns:a16="http://schemas.microsoft.com/office/drawing/2014/main" id="{BD3E860F-8469-8C49-B941-09EAF578D7C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02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17</xdr:row>
      <xdr:rowOff>0</xdr:rowOff>
    </xdr:from>
    <xdr:to>
      <xdr:col>5</xdr:col>
      <xdr:colOff>9525</xdr:colOff>
      <xdr:row>17</xdr:row>
      <xdr:rowOff>9525</xdr:rowOff>
    </xdr:to>
    <xdr:pic>
      <xdr:nvPicPr>
        <xdr:cNvPr id="136" name="Picture 135" descr="http://www.abs.gov.au/icons/ecblank.gif">
          <a:extLst>
            <a:ext uri="{FF2B5EF4-FFF2-40B4-BE49-F238E27FC236}">
              <a16:creationId xmlns:a16="http://schemas.microsoft.com/office/drawing/2014/main" id="{4645D4B2-CCCE-764F-A458-15C9373171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17</xdr:row>
      <xdr:rowOff>0</xdr:rowOff>
    </xdr:from>
    <xdr:to>
      <xdr:col>5</xdr:col>
      <xdr:colOff>9525</xdr:colOff>
      <xdr:row>17</xdr:row>
      <xdr:rowOff>9525</xdr:rowOff>
    </xdr:to>
    <xdr:pic>
      <xdr:nvPicPr>
        <xdr:cNvPr id="137" name="Picture 136" descr="http://www.abs.gov.au/icons/ecblank.gif">
          <a:extLst>
            <a:ext uri="{FF2B5EF4-FFF2-40B4-BE49-F238E27FC236}">
              <a16:creationId xmlns:a16="http://schemas.microsoft.com/office/drawing/2014/main" id="{FD4CF944-B3CF-4448-B53D-736E6FEE3B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9525</xdr:colOff>
      <xdr:row>17</xdr:row>
      <xdr:rowOff>9525</xdr:rowOff>
    </xdr:to>
    <xdr:pic>
      <xdr:nvPicPr>
        <xdr:cNvPr id="138" name="Picture 137" descr="http://www.abs.gov.au/icons/ecblank.gif">
          <a:extLst>
            <a:ext uri="{FF2B5EF4-FFF2-40B4-BE49-F238E27FC236}">
              <a16:creationId xmlns:a16="http://schemas.microsoft.com/office/drawing/2014/main" id="{9ECF110F-047F-ED44-9C0E-5E33739865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9525</xdr:colOff>
      <xdr:row>17</xdr:row>
      <xdr:rowOff>9525</xdr:rowOff>
    </xdr:to>
    <xdr:pic>
      <xdr:nvPicPr>
        <xdr:cNvPr id="139" name="Picture 138" descr="http://www.abs.gov.au/icons/ecblank.gif">
          <a:extLst>
            <a:ext uri="{FF2B5EF4-FFF2-40B4-BE49-F238E27FC236}">
              <a16:creationId xmlns:a16="http://schemas.microsoft.com/office/drawing/2014/main" id="{987092F4-86CD-A746-845B-284A30990E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9525</xdr:colOff>
      <xdr:row>17</xdr:row>
      <xdr:rowOff>9525</xdr:rowOff>
    </xdr:to>
    <xdr:pic>
      <xdr:nvPicPr>
        <xdr:cNvPr id="140" name="Picture 139" descr="http://www.abs.gov.au/icons/ecblank.gif">
          <a:extLst>
            <a:ext uri="{FF2B5EF4-FFF2-40B4-BE49-F238E27FC236}">
              <a16:creationId xmlns:a16="http://schemas.microsoft.com/office/drawing/2014/main" id="{49C79E07-A148-4844-9555-8FB85B1855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9525</xdr:colOff>
      <xdr:row>17</xdr:row>
      <xdr:rowOff>9525</xdr:rowOff>
    </xdr:to>
    <xdr:pic>
      <xdr:nvPicPr>
        <xdr:cNvPr id="141" name="Picture 140" descr="http://www.abs.gov.au/icons/ecblank.gif">
          <a:extLst>
            <a:ext uri="{FF2B5EF4-FFF2-40B4-BE49-F238E27FC236}">
              <a16:creationId xmlns:a16="http://schemas.microsoft.com/office/drawing/2014/main" id="{B69E640C-ACA9-8745-9B92-96539B3D3B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9525</xdr:colOff>
      <xdr:row>17</xdr:row>
      <xdr:rowOff>9525</xdr:rowOff>
    </xdr:to>
    <xdr:pic>
      <xdr:nvPicPr>
        <xdr:cNvPr id="142" name="Picture 141" descr="http://www.abs.gov.au/icons/ecblank.gif">
          <a:extLst>
            <a:ext uri="{FF2B5EF4-FFF2-40B4-BE49-F238E27FC236}">
              <a16:creationId xmlns:a16="http://schemas.microsoft.com/office/drawing/2014/main" id="{785C2F1F-58A9-B042-9251-209C9108FA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17</xdr:row>
      <xdr:rowOff>0</xdr:rowOff>
    </xdr:from>
    <xdr:to>
      <xdr:col>3</xdr:col>
      <xdr:colOff>9525</xdr:colOff>
      <xdr:row>17</xdr:row>
      <xdr:rowOff>9525</xdr:rowOff>
    </xdr:to>
    <xdr:pic>
      <xdr:nvPicPr>
        <xdr:cNvPr id="143" name="Picture 142" descr="http://www.abs.gov.au/icons/ecblank.gif">
          <a:extLst>
            <a:ext uri="{FF2B5EF4-FFF2-40B4-BE49-F238E27FC236}">
              <a16:creationId xmlns:a16="http://schemas.microsoft.com/office/drawing/2014/main" id="{3CC58BF1-2B04-BB4D-AFF2-372E11A829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17</xdr:row>
      <xdr:rowOff>0</xdr:rowOff>
    </xdr:from>
    <xdr:to>
      <xdr:col>4</xdr:col>
      <xdr:colOff>9525</xdr:colOff>
      <xdr:row>17</xdr:row>
      <xdr:rowOff>9525</xdr:rowOff>
    </xdr:to>
    <xdr:pic>
      <xdr:nvPicPr>
        <xdr:cNvPr id="144" name="Picture 143" descr="http://www.abs.gov.au/icons/ecblank.gif">
          <a:extLst>
            <a:ext uri="{FF2B5EF4-FFF2-40B4-BE49-F238E27FC236}">
              <a16:creationId xmlns:a16="http://schemas.microsoft.com/office/drawing/2014/main" id="{2AD372E5-296A-324D-8886-E14CE62E20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02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17</xdr:row>
      <xdr:rowOff>0</xdr:rowOff>
    </xdr:from>
    <xdr:to>
      <xdr:col>5</xdr:col>
      <xdr:colOff>9525</xdr:colOff>
      <xdr:row>17</xdr:row>
      <xdr:rowOff>9525</xdr:rowOff>
    </xdr:to>
    <xdr:pic>
      <xdr:nvPicPr>
        <xdr:cNvPr id="145" name="Picture 144" descr="http://www.abs.gov.au/icons/ecblank.gif">
          <a:extLst>
            <a:ext uri="{FF2B5EF4-FFF2-40B4-BE49-F238E27FC236}">
              <a16:creationId xmlns:a16="http://schemas.microsoft.com/office/drawing/2014/main" id="{BAD3FE3F-E90A-E844-9067-3E76B4F486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17</xdr:row>
      <xdr:rowOff>0</xdr:rowOff>
    </xdr:from>
    <xdr:to>
      <xdr:col>5</xdr:col>
      <xdr:colOff>9525</xdr:colOff>
      <xdr:row>17</xdr:row>
      <xdr:rowOff>9525</xdr:rowOff>
    </xdr:to>
    <xdr:pic>
      <xdr:nvPicPr>
        <xdr:cNvPr id="146" name="Picture 145" descr="http://www.abs.gov.au/icons/ecblank.gif">
          <a:extLst>
            <a:ext uri="{FF2B5EF4-FFF2-40B4-BE49-F238E27FC236}">
              <a16:creationId xmlns:a16="http://schemas.microsoft.com/office/drawing/2014/main" id="{9055399D-B3F3-264C-8D71-339B1F7B6C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9525</xdr:colOff>
      <xdr:row>17</xdr:row>
      <xdr:rowOff>9525</xdr:rowOff>
    </xdr:to>
    <xdr:pic>
      <xdr:nvPicPr>
        <xdr:cNvPr id="147" name="Picture 146" descr="http://www.abs.gov.au/icons/ecblank.gif">
          <a:extLst>
            <a:ext uri="{FF2B5EF4-FFF2-40B4-BE49-F238E27FC236}">
              <a16:creationId xmlns:a16="http://schemas.microsoft.com/office/drawing/2014/main" id="{3D2A0BD4-A192-4944-9F02-A2810309A01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9525</xdr:colOff>
      <xdr:row>17</xdr:row>
      <xdr:rowOff>9525</xdr:rowOff>
    </xdr:to>
    <xdr:pic>
      <xdr:nvPicPr>
        <xdr:cNvPr id="148" name="Picture 147" descr="http://www.abs.gov.au/icons/ecblank.gif">
          <a:extLst>
            <a:ext uri="{FF2B5EF4-FFF2-40B4-BE49-F238E27FC236}">
              <a16:creationId xmlns:a16="http://schemas.microsoft.com/office/drawing/2014/main" id="{4402275A-ADBB-2E40-AF35-6FA74536D1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9525</xdr:colOff>
      <xdr:row>17</xdr:row>
      <xdr:rowOff>9525</xdr:rowOff>
    </xdr:to>
    <xdr:pic>
      <xdr:nvPicPr>
        <xdr:cNvPr id="149" name="Picture 148" descr="http://www.abs.gov.au/icons/ecblank.gif">
          <a:extLst>
            <a:ext uri="{FF2B5EF4-FFF2-40B4-BE49-F238E27FC236}">
              <a16:creationId xmlns:a16="http://schemas.microsoft.com/office/drawing/2014/main" id="{9F9CCD21-8A1F-F94B-99C7-B5113BAC46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9525</xdr:colOff>
      <xdr:row>17</xdr:row>
      <xdr:rowOff>9525</xdr:rowOff>
    </xdr:to>
    <xdr:pic>
      <xdr:nvPicPr>
        <xdr:cNvPr id="150" name="Picture 149" descr="http://www.abs.gov.au/icons/ecblank.gif">
          <a:extLst>
            <a:ext uri="{FF2B5EF4-FFF2-40B4-BE49-F238E27FC236}">
              <a16:creationId xmlns:a16="http://schemas.microsoft.com/office/drawing/2014/main" id="{A7757712-A4F3-E74A-8A05-F35FB8FBFF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17</xdr:row>
      <xdr:rowOff>0</xdr:rowOff>
    </xdr:from>
    <xdr:to>
      <xdr:col>3</xdr:col>
      <xdr:colOff>9525</xdr:colOff>
      <xdr:row>17</xdr:row>
      <xdr:rowOff>9525</xdr:rowOff>
    </xdr:to>
    <xdr:pic>
      <xdr:nvPicPr>
        <xdr:cNvPr id="151" name="Picture 150" descr="http://www.abs.gov.au/icons/ecblank.gif">
          <a:extLst>
            <a:ext uri="{FF2B5EF4-FFF2-40B4-BE49-F238E27FC236}">
              <a16:creationId xmlns:a16="http://schemas.microsoft.com/office/drawing/2014/main" id="{EFE5285A-0FB0-CC4E-8FC1-445F76B8CD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17</xdr:row>
      <xdr:rowOff>0</xdr:rowOff>
    </xdr:from>
    <xdr:to>
      <xdr:col>4</xdr:col>
      <xdr:colOff>9525</xdr:colOff>
      <xdr:row>17</xdr:row>
      <xdr:rowOff>9525</xdr:rowOff>
    </xdr:to>
    <xdr:pic>
      <xdr:nvPicPr>
        <xdr:cNvPr id="152" name="Picture 151" descr="http://www.abs.gov.au/icons/ecblank.gif">
          <a:extLst>
            <a:ext uri="{FF2B5EF4-FFF2-40B4-BE49-F238E27FC236}">
              <a16:creationId xmlns:a16="http://schemas.microsoft.com/office/drawing/2014/main" id="{E0FD0F60-73EA-9841-830A-DF8380783D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02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17</xdr:row>
      <xdr:rowOff>0</xdr:rowOff>
    </xdr:from>
    <xdr:to>
      <xdr:col>5</xdr:col>
      <xdr:colOff>9525</xdr:colOff>
      <xdr:row>17</xdr:row>
      <xdr:rowOff>9525</xdr:rowOff>
    </xdr:to>
    <xdr:pic>
      <xdr:nvPicPr>
        <xdr:cNvPr id="153" name="Picture 152" descr="http://www.abs.gov.au/icons/ecblank.gif">
          <a:extLst>
            <a:ext uri="{FF2B5EF4-FFF2-40B4-BE49-F238E27FC236}">
              <a16:creationId xmlns:a16="http://schemas.microsoft.com/office/drawing/2014/main" id="{0597278B-19C0-1943-8A09-E1CBAFE02F5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17</xdr:row>
      <xdr:rowOff>0</xdr:rowOff>
    </xdr:from>
    <xdr:to>
      <xdr:col>5</xdr:col>
      <xdr:colOff>9525</xdr:colOff>
      <xdr:row>17</xdr:row>
      <xdr:rowOff>9525</xdr:rowOff>
    </xdr:to>
    <xdr:pic>
      <xdr:nvPicPr>
        <xdr:cNvPr id="154" name="Picture 153" descr="http://www.abs.gov.au/icons/ecblank.gif">
          <a:extLst>
            <a:ext uri="{FF2B5EF4-FFF2-40B4-BE49-F238E27FC236}">
              <a16:creationId xmlns:a16="http://schemas.microsoft.com/office/drawing/2014/main" id="{3A842F31-8A35-B146-B443-BD1F6011B7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9525</xdr:colOff>
      <xdr:row>17</xdr:row>
      <xdr:rowOff>9525</xdr:rowOff>
    </xdr:to>
    <xdr:pic>
      <xdr:nvPicPr>
        <xdr:cNvPr id="155" name="Picture 154" descr="http://www.abs.gov.au/icons/ecblank.gif">
          <a:extLst>
            <a:ext uri="{FF2B5EF4-FFF2-40B4-BE49-F238E27FC236}">
              <a16:creationId xmlns:a16="http://schemas.microsoft.com/office/drawing/2014/main" id="{F4357150-C559-0749-91FA-76E840DB52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9525</xdr:colOff>
      <xdr:row>17</xdr:row>
      <xdr:rowOff>9525</xdr:rowOff>
    </xdr:to>
    <xdr:pic>
      <xdr:nvPicPr>
        <xdr:cNvPr id="156" name="Picture 155" descr="http://www.abs.gov.au/icons/ecblank.gif">
          <a:extLst>
            <a:ext uri="{FF2B5EF4-FFF2-40B4-BE49-F238E27FC236}">
              <a16:creationId xmlns:a16="http://schemas.microsoft.com/office/drawing/2014/main" id="{26864428-C3FE-AB47-8F00-38426DF168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9525</xdr:colOff>
      <xdr:row>17</xdr:row>
      <xdr:rowOff>9525</xdr:rowOff>
    </xdr:to>
    <xdr:pic>
      <xdr:nvPicPr>
        <xdr:cNvPr id="157" name="Picture 156" descr="http://www.abs.gov.au/icons/ecblank.gif">
          <a:extLst>
            <a:ext uri="{FF2B5EF4-FFF2-40B4-BE49-F238E27FC236}">
              <a16:creationId xmlns:a16="http://schemas.microsoft.com/office/drawing/2014/main" id="{2F82964D-7BE0-2B43-AFCB-E01F3382FEE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17</xdr:row>
      <xdr:rowOff>0</xdr:rowOff>
    </xdr:from>
    <xdr:to>
      <xdr:col>3</xdr:col>
      <xdr:colOff>9525</xdr:colOff>
      <xdr:row>17</xdr:row>
      <xdr:rowOff>9525</xdr:rowOff>
    </xdr:to>
    <xdr:pic>
      <xdr:nvPicPr>
        <xdr:cNvPr id="158" name="Picture 157" descr="http://www.abs.gov.au/icons/ecblank.gif">
          <a:extLst>
            <a:ext uri="{FF2B5EF4-FFF2-40B4-BE49-F238E27FC236}">
              <a16:creationId xmlns:a16="http://schemas.microsoft.com/office/drawing/2014/main" id="{7FA29F51-AD17-D74E-9E85-9FC7E2D153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17</xdr:row>
      <xdr:rowOff>0</xdr:rowOff>
    </xdr:from>
    <xdr:to>
      <xdr:col>4</xdr:col>
      <xdr:colOff>9525</xdr:colOff>
      <xdr:row>17</xdr:row>
      <xdr:rowOff>9525</xdr:rowOff>
    </xdr:to>
    <xdr:pic>
      <xdr:nvPicPr>
        <xdr:cNvPr id="159" name="Picture 158" descr="http://www.abs.gov.au/icons/ecblank.gif">
          <a:extLst>
            <a:ext uri="{FF2B5EF4-FFF2-40B4-BE49-F238E27FC236}">
              <a16:creationId xmlns:a16="http://schemas.microsoft.com/office/drawing/2014/main" id="{F74BE556-BDC3-CD49-83A1-FAF58A4658F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02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17</xdr:row>
      <xdr:rowOff>0</xdr:rowOff>
    </xdr:from>
    <xdr:to>
      <xdr:col>5</xdr:col>
      <xdr:colOff>9525</xdr:colOff>
      <xdr:row>17</xdr:row>
      <xdr:rowOff>9525</xdr:rowOff>
    </xdr:to>
    <xdr:pic>
      <xdr:nvPicPr>
        <xdr:cNvPr id="160" name="Picture 159" descr="http://www.abs.gov.au/icons/ecblank.gif">
          <a:extLst>
            <a:ext uri="{FF2B5EF4-FFF2-40B4-BE49-F238E27FC236}">
              <a16:creationId xmlns:a16="http://schemas.microsoft.com/office/drawing/2014/main" id="{40056794-4A13-1244-A1EF-CBA548D3A6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17</xdr:row>
      <xdr:rowOff>0</xdr:rowOff>
    </xdr:from>
    <xdr:to>
      <xdr:col>5</xdr:col>
      <xdr:colOff>9525</xdr:colOff>
      <xdr:row>17</xdr:row>
      <xdr:rowOff>9525</xdr:rowOff>
    </xdr:to>
    <xdr:pic>
      <xdr:nvPicPr>
        <xdr:cNvPr id="161" name="Picture 160" descr="http://www.abs.gov.au/icons/ecblank.gif">
          <a:extLst>
            <a:ext uri="{FF2B5EF4-FFF2-40B4-BE49-F238E27FC236}">
              <a16:creationId xmlns:a16="http://schemas.microsoft.com/office/drawing/2014/main" id="{640757CF-5D64-6A48-B89C-3625D5B207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9525</xdr:colOff>
      <xdr:row>17</xdr:row>
      <xdr:rowOff>9525</xdr:rowOff>
    </xdr:to>
    <xdr:pic>
      <xdr:nvPicPr>
        <xdr:cNvPr id="162" name="Picture 161" descr="http://www.abs.gov.au/icons/ecblank.gif">
          <a:extLst>
            <a:ext uri="{FF2B5EF4-FFF2-40B4-BE49-F238E27FC236}">
              <a16:creationId xmlns:a16="http://schemas.microsoft.com/office/drawing/2014/main" id="{C0F63F75-DB06-154F-98F9-EA96052996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9525</xdr:colOff>
      <xdr:row>17</xdr:row>
      <xdr:rowOff>9525</xdr:rowOff>
    </xdr:to>
    <xdr:pic>
      <xdr:nvPicPr>
        <xdr:cNvPr id="163" name="Picture 162" descr="http://www.abs.gov.au/icons/ecblank.gif">
          <a:extLst>
            <a:ext uri="{FF2B5EF4-FFF2-40B4-BE49-F238E27FC236}">
              <a16:creationId xmlns:a16="http://schemas.microsoft.com/office/drawing/2014/main" id="{15814233-3C14-324B-B931-F0D4364CAF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9525</xdr:colOff>
      <xdr:row>17</xdr:row>
      <xdr:rowOff>9525</xdr:rowOff>
    </xdr:to>
    <xdr:pic>
      <xdr:nvPicPr>
        <xdr:cNvPr id="164" name="Picture 163" descr="http://www.abs.gov.au/icons/ecblank.gif">
          <a:extLst>
            <a:ext uri="{FF2B5EF4-FFF2-40B4-BE49-F238E27FC236}">
              <a16:creationId xmlns:a16="http://schemas.microsoft.com/office/drawing/2014/main" id="{3C9080E5-DC3B-9D4E-A7AA-AF0E3AA91F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9525</xdr:colOff>
      <xdr:row>17</xdr:row>
      <xdr:rowOff>9525</xdr:rowOff>
    </xdr:to>
    <xdr:pic>
      <xdr:nvPicPr>
        <xdr:cNvPr id="165" name="Picture 164" descr="http://www.abs.gov.au/icons/ecblank.gif">
          <a:extLst>
            <a:ext uri="{FF2B5EF4-FFF2-40B4-BE49-F238E27FC236}">
              <a16:creationId xmlns:a16="http://schemas.microsoft.com/office/drawing/2014/main" id="{BFB48FD5-ED5F-6548-A97D-CE2568B5AF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9525</xdr:colOff>
      <xdr:row>17</xdr:row>
      <xdr:rowOff>9525</xdr:rowOff>
    </xdr:to>
    <xdr:pic>
      <xdr:nvPicPr>
        <xdr:cNvPr id="166" name="Picture 165" descr="http://www.abs.gov.au/icons/ecblank.gif">
          <a:extLst>
            <a:ext uri="{FF2B5EF4-FFF2-40B4-BE49-F238E27FC236}">
              <a16:creationId xmlns:a16="http://schemas.microsoft.com/office/drawing/2014/main" id="{36E1ACAC-B30A-0C45-AD1C-DA346C4F063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9525</xdr:colOff>
      <xdr:row>17</xdr:row>
      <xdr:rowOff>9525</xdr:rowOff>
    </xdr:to>
    <xdr:pic>
      <xdr:nvPicPr>
        <xdr:cNvPr id="167" name="Picture 166" descr="http://www.abs.gov.au/icons/ecblank.gif">
          <a:extLst>
            <a:ext uri="{FF2B5EF4-FFF2-40B4-BE49-F238E27FC236}">
              <a16:creationId xmlns:a16="http://schemas.microsoft.com/office/drawing/2014/main" id="{BEC97E32-8E38-6F40-A1D7-8444F7A5E7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0</xdr:colOff>
      <xdr:row>17</xdr:row>
      <xdr:rowOff>0</xdr:rowOff>
    </xdr:from>
    <xdr:ext cx="9525" cy="9525"/>
    <xdr:pic>
      <xdr:nvPicPr>
        <xdr:cNvPr id="168" name="Picture 167" descr="http://www.abs.gov.au/icons/ecblank.gif">
          <a:extLst>
            <a:ext uri="{FF2B5EF4-FFF2-40B4-BE49-F238E27FC236}">
              <a16:creationId xmlns:a16="http://schemas.microsoft.com/office/drawing/2014/main" id="{C192DC65-6CE0-6948-8ADE-E6437642B0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17</xdr:row>
      <xdr:rowOff>0</xdr:rowOff>
    </xdr:from>
    <xdr:ext cx="9525" cy="9525"/>
    <xdr:pic>
      <xdr:nvPicPr>
        <xdr:cNvPr id="169" name="Picture 168" descr="http://www.abs.gov.au/icons/ecblank.gif">
          <a:extLst>
            <a:ext uri="{FF2B5EF4-FFF2-40B4-BE49-F238E27FC236}">
              <a16:creationId xmlns:a16="http://schemas.microsoft.com/office/drawing/2014/main" id="{97BD6FE9-1556-2C4E-A0AA-BAFAD51F2D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02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17</xdr:row>
      <xdr:rowOff>0</xdr:rowOff>
    </xdr:from>
    <xdr:ext cx="9525" cy="9525"/>
    <xdr:pic>
      <xdr:nvPicPr>
        <xdr:cNvPr id="170" name="Picture 169" descr="http://www.abs.gov.au/icons/ecblank.gif">
          <a:extLst>
            <a:ext uri="{FF2B5EF4-FFF2-40B4-BE49-F238E27FC236}">
              <a16:creationId xmlns:a16="http://schemas.microsoft.com/office/drawing/2014/main" id="{072F5F31-23DE-8D4F-834D-D4D495E9CB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17</xdr:row>
      <xdr:rowOff>0</xdr:rowOff>
    </xdr:from>
    <xdr:ext cx="9525" cy="9525"/>
    <xdr:pic>
      <xdr:nvPicPr>
        <xdr:cNvPr id="171" name="Picture 170" descr="http://www.abs.gov.au/icons/ecblank.gif">
          <a:extLst>
            <a:ext uri="{FF2B5EF4-FFF2-40B4-BE49-F238E27FC236}">
              <a16:creationId xmlns:a16="http://schemas.microsoft.com/office/drawing/2014/main" id="{9DA0D447-685E-804C-B2D3-ACDA4C4251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9525" cy="9525"/>
    <xdr:pic>
      <xdr:nvPicPr>
        <xdr:cNvPr id="172" name="Picture 171" descr="http://www.abs.gov.au/icons/ecblank.gif">
          <a:extLst>
            <a:ext uri="{FF2B5EF4-FFF2-40B4-BE49-F238E27FC236}">
              <a16:creationId xmlns:a16="http://schemas.microsoft.com/office/drawing/2014/main" id="{F8A4959B-A047-934C-8F59-E13EB1633D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9525" cy="9525"/>
    <xdr:pic>
      <xdr:nvPicPr>
        <xdr:cNvPr id="173" name="Picture 172" descr="http://www.abs.gov.au/icons/ecblank.gif">
          <a:extLst>
            <a:ext uri="{FF2B5EF4-FFF2-40B4-BE49-F238E27FC236}">
              <a16:creationId xmlns:a16="http://schemas.microsoft.com/office/drawing/2014/main" id="{E295DD6B-BB4B-0B46-9F84-BB708780A5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9525" cy="9525"/>
    <xdr:pic>
      <xdr:nvPicPr>
        <xdr:cNvPr id="174" name="Picture 173" descr="http://www.abs.gov.au/icons/ecblank.gif">
          <a:extLst>
            <a:ext uri="{FF2B5EF4-FFF2-40B4-BE49-F238E27FC236}">
              <a16:creationId xmlns:a16="http://schemas.microsoft.com/office/drawing/2014/main" id="{58403A2A-C1A9-3C45-AA1D-012EBD18CE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9525" cy="9525"/>
    <xdr:pic>
      <xdr:nvPicPr>
        <xdr:cNvPr id="175" name="Picture 174" descr="http://www.abs.gov.au/icons/ecblank.gif">
          <a:extLst>
            <a:ext uri="{FF2B5EF4-FFF2-40B4-BE49-F238E27FC236}">
              <a16:creationId xmlns:a16="http://schemas.microsoft.com/office/drawing/2014/main" id="{59CF397C-065E-2D45-B52D-6B78AC3D0D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9525" cy="9525"/>
    <xdr:pic>
      <xdr:nvPicPr>
        <xdr:cNvPr id="176" name="Picture 175" descr="http://www.abs.gov.au/icons/ecblank.gif">
          <a:extLst>
            <a:ext uri="{FF2B5EF4-FFF2-40B4-BE49-F238E27FC236}">
              <a16:creationId xmlns:a16="http://schemas.microsoft.com/office/drawing/2014/main" id="{2061BCBB-753E-1442-B8DC-AEFFE67AD8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9525" cy="9525"/>
    <xdr:pic>
      <xdr:nvPicPr>
        <xdr:cNvPr id="177" name="Picture 176" descr="http://www.abs.gov.au/icons/ecblank.gif">
          <a:extLst>
            <a:ext uri="{FF2B5EF4-FFF2-40B4-BE49-F238E27FC236}">
              <a16:creationId xmlns:a16="http://schemas.microsoft.com/office/drawing/2014/main" id="{5278E2EE-C460-4F42-81B8-4B962AF716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17</xdr:row>
      <xdr:rowOff>0</xdr:rowOff>
    </xdr:from>
    <xdr:ext cx="9525" cy="9525"/>
    <xdr:pic>
      <xdr:nvPicPr>
        <xdr:cNvPr id="178" name="Picture 177" descr="http://www.abs.gov.au/icons/ecblank.gif">
          <a:extLst>
            <a:ext uri="{FF2B5EF4-FFF2-40B4-BE49-F238E27FC236}">
              <a16:creationId xmlns:a16="http://schemas.microsoft.com/office/drawing/2014/main" id="{98EE80B2-1E6D-7942-9E1D-DE6C23D910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17</xdr:row>
      <xdr:rowOff>0</xdr:rowOff>
    </xdr:from>
    <xdr:ext cx="9525" cy="9525"/>
    <xdr:pic>
      <xdr:nvPicPr>
        <xdr:cNvPr id="179" name="Picture 178" descr="http://www.abs.gov.au/icons/ecblank.gif">
          <a:extLst>
            <a:ext uri="{FF2B5EF4-FFF2-40B4-BE49-F238E27FC236}">
              <a16:creationId xmlns:a16="http://schemas.microsoft.com/office/drawing/2014/main" id="{13F8FCCD-3682-C642-B92B-481C42C640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02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17</xdr:row>
      <xdr:rowOff>0</xdr:rowOff>
    </xdr:from>
    <xdr:ext cx="9525" cy="9525"/>
    <xdr:pic>
      <xdr:nvPicPr>
        <xdr:cNvPr id="180" name="Picture 179" descr="http://www.abs.gov.au/icons/ecblank.gif">
          <a:extLst>
            <a:ext uri="{FF2B5EF4-FFF2-40B4-BE49-F238E27FC236}">
              <a16:creationId xmlns:a16="http://schemas.microsoft.com/office/drawing/2014/main" id="{6B025E48-0B1B-EC40-A05E-ECFF819F19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17</xdr:row>
      <xdr:rowOff>0</xdr:rowOff>
    </xdr:from>
    <xdr:ext cx="9525" cy="9525"/>
    <xdr:pic>
      <xdr:nvPicPr>
        <xdr:cNvPr id="181" name="Picture 180" descr="http://www.abs.gov.au/icons/ecblank.gif">
          <a:extLst>
            <a:ext uri="{FF2B5EF4-FFF2-40B4-BE49-F238E27FC236}">
              <a16:creationId xmlns:a16="http://schemas.microsoft.com/office/drawing/2014/main" id="{712106C1-1777-2240-80AC-087347DA62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9525" cy="9525"/>
    <xdr:pic>
      <xdr:nvPicPr>
        <xdr:cNvPr id="182" name="Picture 181" descr="http://www.abs.gov.au/icons/ecblank.gif">
          <a:extLst>
            <a:ext uri="{FF2B5EF4-FFF2-40B4-BE49-F238E27FC236}">
              <a16:creationId xmlns:a16="http://schemas.microsoft.com/office/drawing/2014/main" id="{3C687E33-61AD-CF4D-BFB4-B4836923AA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9525" cy="9525"/>
    <xdr:pic>
      <xdr:nvPicPr>
        <xdr:cNvPr id="183" name="Picture 182" descr="http://www.abs.gov.au/icons/ecblank.gif">
          <a:extLst>
            <a:ext uri="{FF2B5EF4-FFF2-40B4-BE49-F238E27FC236}">
              <a16:creationId xmlns:a16="http://schemas.microsoft.com/office/drawing/2014/main" id="{4584E68B-8521-BC49-B2D9-E3BD3D4984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9525" cy="9525"/>
    <xdr:pic>
      <xdr:nvPicPr>
        <xdr:cNvPr id="184" name="Picture 183" descr="http://www.abs.gov.au/icons/ecblank.gif">
          <a:extLst>
            <a:ext uri="{FF2B5EF4-FFF2-40B4-BE49-F238E27FC236}">
              <a16:creationId xmlns:a16="http://schemas.microsoft.com/office/drawing/2014/main" id="{B119E9BE-2D07-0147-817C-1348ACAC74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9525" cy="9525"/>
    <xdr:pic>
      <xdr:nvPicPr>
        <xdr:cNvPr id="185" name="Picture 184" descr="http://www.abs.gov.au/icons/ecblank.gif">
          <a:extLst>
            <a:ext uri="{FF2B5EF4-FFF2-40B4-BE49-F238E27FC236}">
              <a16:creationId xmlns:a16="http://schemas.microsoft.com/office/drawing/2014/main" id="{8EB75C86-CBC9-3346-8519-443524F7BF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9525" cy="9525"/>
    <xdr:pic>
      <xdr:nvPicPr>
        <xdr:cNvPr id="186" name="Picture 185" descr="http://www.abs.gov.au/icons/ecblank.gif">
          <a:extLst>
            <a:ext uri="{FF2B5EF4-FFF2-40B4-BE49-F238E27FC236}">
              <a16:creationId xmlns:a16="http://schemas.microsoft.com/office/drawing/2014/main" id="{715D02B9-CA9B-3642-84BE-4D2B5CBA6B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17</xdr:row>
      <xdr:rowOff>0</xdr:rowOff>
    </xdr:from>
    <xdr:ext cx="9525" cy="9525"/>
    <xdr:pic>
      <xdr:nvPicPr>
        <xdr:cNvPr id="187" name="Picture 186" descr="http://www.abs.gov.au/icons/ecblank.gif">
          <a:extLst>
            <a:ext uri="{FF2B5EF4-FFF2-40B4-BE49-F238E27FC236}">
              <a16:creationId xmlns:a16="http://schemas.microsoft.com/office/drawing/2014/main" id="{81B20C63-957C-064D-90E3-6DAA9426C2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17</xdr:row>
      <xdr:rowOff>0</xdr:rowOff>
    </xdr:from>
    <xdr:ext cx="9525" cy="9525"/>
    <xdr:pic>
      <xdr:nvPicPr>
        <xdr:cNvPr id="188" name="Picture 187" descr="http://www.abs.gov.au/icons/ecblank.gif">
          <a:extLst>
            <a:ext uri="{FF2B5EF4-FFF2-40B4-BE49-F238E27FC236}">
              <a16:creationId xmlns:a16="http://schemas.microsoft.com/office/drawing/2014/main" id="{4D0225EA-9AD1-5D44-851B-3105B1F2AB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02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17</xdr:row>
      <xdr:rowOff>0</xdr:rowOff>
    </xdr:from>
    <xdr:ext cx="9525" cy="9525"/>
    <xdr:pic>
      <xdr:nvPicPr>
        <xdr:cNvPr id="189" name="Picture 188" descr="http://www.abs.gov.au/icons/ecblank.gif">
          <a:extLst>
            <a:ext uri="{FF2B5EF4-FFF2-40B4-BE49-F238E27FC236}">
              <a16:creationId xmlns:a16="http://schemas.microsoft.com/office/drawing/2014/main" id="{134B4A31-F7F9-F247-89C2-BA3E7E8723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17</xdr:row>
      <xdr:rowOff>0</xdr:rowOff>
    </xdr:from>
    <xdr:ext cx="9525" cy="9525"/>
    <xdr:pic>
      <xdr:nvPicPr>
        <xdr:cNvPr id="190" name="Picture 189" descr="http://www.abs.gov.au/icons/ecblank.gif">
          <a:extLst>
            <a:ext uri="{FF2B5EF4-FFF2-40B4-BE49-F238E27FC236}">
              <a16:creationId xmlns:a16="http://schemas.microsoft.com/office/drawing/2014/main" id="{6FC0849A-F78D-AA4F-9D5A-3CCB6D3ED9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9525" cy="9525"/>
    <xdr:pic>
      <xdr:nvPicPr>
        <xdr:cNvPr id="191" name="Picture 190" descr="http://www.abs.gov.au/icons/ecblank.gif">
          <a:extLst>
            <a:ext uri="{FF2B5EF4-FFF2-40B4-BE49-F238E27FC236}">
              <a16:creationId xmlns:a16="http://schemas.microsoft.com/office/drawing/2014/main" id="{9B1825B8-5FE6-3245-ADCE-7BAACBA689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9525" cy="9525"/>
    <xdr:pic>
      <xdr:nvPicPr>
        <xdr:cNvPr id="192" name="Picture 191" descr="http://www.abs.gov.au/icons/ecblank.gif">
          <a:extLst>
            <a:ext uri="{FF2B5EF4-FFF2-40B4-BE49-F238E27FC236}">
              <a16:creationId xmlns:a16="http://schemas.microsoft.com/office/drawing/2014/main" id="{A7DBD955-3231-AA4B-81BB-17DD40BDD5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9525" cy="9525"/>
    <xdr:pic>
      <xdr:nvPicPr>
        <xdr:cNvPr id="193" name="Picture 192" descr="http://www.abs.gov.au/icons/ecblank.gif">
          <a:extLst>
            <a:ext uri="{FF2B5EF4-FFF2-40B4-BE49-F238E27FC236}">
              <a16:creationId xmlns:a16="http://schemas.microsoft.com/office/drawing/2014/main" id="{2AFB34D2-943E-5249-95BF-6302719CCD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9525" cy="9525"/>
    <xdr:pic>
      <xdr:nvPicPr>
        <xdr:cNvPr id="194" name="Picture 193" descr="http://www.abs.gov.au/icons/ecblank.gif">
          <a:extLst>
            <a:ext uri="{FF2B5EF4-FFF2-40B4-BE49-F238E27FC236}">
              <a16:creationId xmlns:a16="http://schemas.microsoft.com/office/drawing/2014/main" id="{71C61788-B798-D241-95AA-88701208CA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9525" cy="9525"/>
    <xdr:pic>
      <xdr:nvPicPr>
        <xdr:cNvPr id="195" name="Picture 194" descr="http://www.abs.gov.au/icons/ecblank.gif">
          <a:extLst>
            <a:ext uri="{FF2B5EF4-FFF2-40B4-BE49-F238E27FC236}">
              <a16:creationId xmlns:a16="http://schemas.microsoft.com/office/drawing/2014/main" id="{D8BEDB44-0E12-6141-93D7-C2FF2BD2206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9525" cy="9525"/>
    <xdr:pic>
      <xdr:nvPicPr>
        <xdr:cNvPr id="196" name="Picture 195" descr="http://www.abs.gov.au/icons/ecblank.gif">
          <a:extLst>
            <a:ext uri="{FF2B5EF4-FFF2-40B4-BE49-F238E27FC236}">
              <a16:creationId xmlns:a16="http://schemas.microsoft.com/office/drawing/2014/main" id="{FDD26526-BD53-024C-BBE1-A79383CABD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17</xdr:row>
      <xdr:rowOff>0</xdr:rowOff>
    </xdr:from>
    <xdr:ext cx="9525" cy="9525"/>
    <xdr:pic>
      <xdr:nvPicPr>
        <xdr:cNvPr id="197" name="Picture 196" descr="http://www.abs.gov.au/icons/ecblank.gif">
          <a:extLst>
            <a:ext uri="{FF2B5EF4-FFF2-40B4-BE49-F238E27FC236}">
              <a16:creationId xmlns:a16="http://schemas.microsoft.com/office/drawing/2014/main" id="{1C2DFF43-ED70-134B-A84E-0F79875D35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17</xdr:row>
      <xdr:rowOff>0</xdr:rowOff>
    </xdr:from>
    <xdr:ext cx="9525" cy="9525"/>
    <xdr:pic>
      <xdr:nvPicPr>
        <xdr:cNvPr id="198" name="Picture 197" descr="http://www.abs.gov.au/icons/ecblank.gif">
          <a:extLst>
            <a:ext uri="{FF2B5EF4-FFF2-40B4-BE49-F238E27FC236}">
              <a16:creationId xmlns:a16="http://schemas.microsoft.com/office/drawing/2014/main" id="{3D7774BD-9556-C14C-AC2B-7AE9C3DBEBC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02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17</xdr:row>
      <xdr:rowOff>0</xdr:rowOff>
    </xdr:from>
    <xdr:ext cx="9525" cy="9525"/>
    <xdr:pic>
      <xdr:nvPicPr>
        <xdr:cNvPr id="199" name="Picture 198" descr="http://www.abs.gov.au/icons/ecblank.gif">
          <a:extLst>
            <a:ext uri="{FF2B5EF4-FFF2-40B4-BE49-F238E27FC236}">
              <a16:creationId xmlns:a16="http://schemas.microsoft.com/office/drawing/2014/main" id="{CF0EFEA8-25CA-554F-921E-B31E26DF5B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17</xdr:row>
      <xdr:rowOff>0</xdr:rowOff>
    </xdr:from>
    <xdr:ext cx="9525" cy="9525"/>
    <xdr:pic>
      <xdr:nvPicPr>
        <xdr:cNvPr id="200" name="Picture 199" descr="http://www.abs.gov.au/icons/ecblank.gif">
          <a:extLst>
            <a:ext uri="{FF2B5EF4-FFF2-40B4-BE49-F238E27FC236}">
              <a16:creationId xmlns:a16="http://schemas.microsoft.com/office/drawing/2014/main" id="{2BF05BA2-FE7D-3946-A7FE-709EFFCE4F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9525" cy="9525"/>
    <xdr:pic>
      <xdr:nvPicPr>
        <xdr:cNvPr id="201" name="Picture 200" descr="http://www.abs.gov.au/icons/ecblank.gif">
          <a:extLst>
            <a:ext uri="{FF2B5EF4-FFF2-40B4-BE49-F238E27FC236}">
              <a16:creationId xmlns:a16="http://schemas.microsoft.com/office/drawing/2014/main" id="{37C77614-BB1D-4440-B4FB-8446CC9851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9525" cy="9525"/>
    <xdr:pic>
      <xdr:nvPicPr>
        <xdr:cNvPr id="202" name="Picture 201" descr="http://www.abs.gov.au/icons/ecblank.gif">
          <a:extLst>
            <a:ext uri="{FF2B5EF4-FFF2-40B4-BE49-F238E27FC236}">
              <a16:creationId xmlns:a16="http://schemas.microsoft.com/office/drawing/2014/main" id="{0FB0EC6C-313B-DA46-B21A-19045F1895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9525" cy="9525"/>
    <xdr:pic>
      <xdr:nvPicPr>
        <xdr:cNvPr id="203" name="Picture 202" descr="http://www.abs.gov.au/icons/ecblank.gif">
          <a:extLst>
            <a:ext uri="{FF2B5EF4-FFF2-40B4-BE49-F238E27FC236}">
              <a16:creationId xmlns:a16="http://schemas.microsoft.com/office/drawing/2014/main" id="{9D42839D-AA24-684C-9B5F-0B4B48CB2B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9525" cy="9525"/>
    <xdr:pic>
      <xdr:nvPicPr>
        <xdr:cNvPr id="204" name="Picture 203" descr="http://www.abs.gov.au/icons/ecblank.gif">
          <a:extLst>
            <a:ext uri="{FF2B5EF4-FFF2-40B4-BE49-F238E27FC236}">
              <a16:creationId xmlns:a16="http://schemas.microsoft.com/office/drawing/2014/main" id="{7846003B-5170-8947-B564-C49F3C8E3D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9525" cy="9525"/>
    <xdr:pic>
      <xdr:nvPicPr>
        <xdr:cNvPr id="205" name="Picture 204" descr="http://www.abs.gov.au/icons/ecblank.gif">
          <a:extLst>
            <a:ext uri="{FF2B5EF4-FFF2-40B4-BE49-F238E27FC236}">
              <a16:creationId xmlns:a16="http://schemas.microsoft.com/office/drawing/2014/main" id="{D845E7CB-6545-5A4A-901C-5C3E0A4622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9525" cy="9525"/>
    <xdr:pic>
      <xdr:nvPicPr>
        <xdr:cNvPr id="206" name="Picture 205" descr="http://www.abs.gov.au/icons/ecblank.gif">
          <a:extLst>
            <a:ext uri="{FF2B5EF4-FFF2-40B4-BE49-F238E27FC236}">
              <a16:creationId xmlns:a16="http://schemas.microsoft.com/office/drawing/2014/main" id="{9E7FD1A2-F227-DA4B-8FDE-A395EB29F7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17</xdr:row>
      <xdr:rowOff>0</xdr:rowOff>
    </xdr:from>
    <xdr:ext cx="9525" cy="9525"/>
    <xdr:pic>
      <xdr:nvPicPr>
        <xdr:cNvPr id="207" name="Picture 206" descr="http://www.abs.gov.au/icons/ecblank.gif">
          <a:extLst>
            <a:ext uri="{FF2B5EF4-FFF2-40B4-BE49-F238E27FC236}">
              <a16:creationId xmlns:a16="http://schemas.microsoft.com/office/drawing/2014/main" id="{EC96A1A0-0E15-A74A-9F4D-E48A480513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17</xdr:row>
      <xdr:rowOff>0</xdr:rowOff>
    </xdr:from>
    <xdr:ext cx="9525" cy="9525"/>
    <xdr:pic>
      <xdr:nvPicPr>
        <xdr:cNvPr id="208" name="Picture 207" descr="http://www.abs.gov.au/icons/ecblank.gif">
          <a:extLst>
            <a:ext uri="{FF2B5EF4-FFF2-40B4-BE49-F238E27FC236}">
              <a16:creationId xmlns:a16="http://schemas.microsoft.com/office/drawing/2014/main" id="{BEF339D9-091B-9242-87D8-1AE3BE7C72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02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17</xdr:row>
      <xdr:rowOff>0</xdr:rowOff>
    </xdr:from>
    <xdr:ext cx="9525" cy="9525"/>
    <xdr:pic>
      <xdr:nvPicPr>
        <xdr:cNvPr id="209" name="Picture 208" descr="http://www.abs.gov.au/icons/ecblank.gif">
          <a:extLst>
            <a:ext uri="{FF2B5EF4-FFF2-40B4-BE49-F238E27FC236}">
              <a16:creationId xmlns:a16="http://schemas.microsoft.com/office/drawing/2014/main" id="{974A360A-8AE2-8C4F-83B3-BC9F2F4C2E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17</xdr:row>
      <xdr:rowOff>0</xdr:rowOff>
    </xdr:from>
    <xdr:ext cx="9525" cy="9525"/>
    <xdr:pic>
      <xdr:nvPicPr>
        <xdr:cNvPr id="210" name="Picture 209" descr="http://www.abs.gov.au/icons/ecblank.gif">
          <a:extLst>
            <a:ext uri="{FF2B5EF4-FFF2-40B4-BE49-F238E27FC236}">
              <a16:creationId xmlns:a16="http://schemas.microsoft.com/office/drawing/2014/main" id="{2DBDBFF1-671A-0E4C-8356-97F6609006C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9525" cy="9525"/>
    <xdr:pic>
      <xdr:nvPicPr>
        <xdr:cNvPr id="211" name="Picture 210" descr="http://www.abs.gov.au/icons/ecblank.gif">
          <a:extLst>
            <a:ext uri="{FF2B5EF4-FFF2-40B4-BE49-F238E27FC236}">
              <a16:creationId xmlns:a16="http://schemas.microsoft.com/office/drawing/2014/main" id="{CAF28CC8-0D5C-C949-82E3-26494DF4ED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9525" cy="9525"/>
    <xdr:pic>
      <xdr:nvPicPr>
        <xdr:cNvPr id="212" name="Picture 211" descr="http://www.abs.gov.au/icons/ecblank.gif">
          <a:extLst>
            <a:ext uri="{FF2B5EF4-FFF2-40B4-BE49-F238E27FC236}">
              <a16:creationId xmlns:a16="http://schemas.microsoft.com/office/drawing/2014/main" id="{C942094B-AA9A-C54A-9361-36CE8C7BCF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9525" cy="9525"/>
    <xdr:pic>
      <xdr:nvPicPr>
        <xdr:cNvPr id="213" name="Picture 212" descr="http://www.abs.gov.au/icons/ecblank.gif">
          <a:extLst>
            <a:ext uri="{FF2B5EF4-FFF2-40B4-BE49-F238E27FC236}">
              <a16:creationId xmlns:a16="http://schemas.microsoft.com/office/drawing/2014/main" id="{B98F2501-5412-0746-991C-DE6DA7FEC1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9525" cy="9525"/>
    <xdr:pic>
      <xdr:nvPicPr>
        <xdr:cNvPr id="214" name="Picture 213" descr="http://www.abs.gov.au/icons/ecblank.gif">
          <a:extLst>
            <a:ext uri="{FF2B5EF4-FFF2-40B4-BE49-F238E27FC236}">
              <a16:creationId xmlns:a16="http://schemas.microsoft.com/office/drawing/2014/main" id="{2E5472D9-6BCB-1940-9F16-E7F09D672D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9525" cy="9525"/>
    <xdr:pic>
      <xdr:nvPicPr>
        <xdr:cNvPr id="215" name="Picture 214" descr="http://www.abs.gov.au/icons/ecblank.gif">
          <a:extLst>
            <a:ext uri="{FF2B5EF4-FFF2-40B4-BE49-F238E27FC236}">
              <a16:creationId xmlns:a16="http://schemas.microsoft.com/office/drawing/2014/main" id="{D4E990A0-A5C7-B848-820D-1AAFCDDE32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9525" cy="9525"/>
    <xdr:pic>
      <xdr:nvPicPr>
        <xdr:cNvPr id="216" name="Picture 215" descr="http://www.abs.gov.au/icons/ecblank.gif">
          <a:extLst>
            <a:ext uri="{FF2B5EF4-FFF2-40B4-BE49-F238E27FC236}">
              <a16:creationId xmlns:a16="http://schemas.microsoft.com/office/drawing/2014/main" id="{B07CB72E-8621-3C46-A92C-91FCA17787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17</xdr:row>
      <xdr:rowOff>0</xdr:rowOff>
    </xdr:from>
    <xdr:ext cx="9525" cy="9525"/>
    <xdr:pic>
      <xdr:nvPicPr>
        <xdr:cNvPr id="217" name="Picture 216" descr="http://www.abs.gov.au/icons/ecblank.gif">
          <a:extLst>
            <a:ext uri="{FF2B5EF4-FFF2-40B4-BE49-F238E27FC236}">
              <a16:creationId xmlns:a16="http://schemas.microsoft.com/office/drawing/2014/main" id="{50264CBA-78EE-C941-AB65-61E3E806A4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17</xdr:row>
      <xdr:rowOff>0</xdr:rowOff>
    </xdr:from>
    <xdr:ext cx="9525" cy="9525"/>
    <xdr:pic>
      <xdr:nvPicPr>
        <xdr:cNvPr id="218" name="Picture 217" descr="http://www.abs.gov.au/icons/ecblank.gif">
          <a:extLst>
            <a:ext uri="{FF2B5EF4-FFF2-40B4-BE49-F238E27FC236}">
              <a16:creationId xmlns:a16="http://schemas.microsoft.com/office/drawing/2014/main" id="{C29DC5ED-2770-B14B-923E-3A64F9F941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02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17</xdr:row>
      <xdr:rowOff>0</xdr:rowOff>
    </xdr:from>
    <xdr:ext cx="9525" cy="9525"/>
    <xdr:pic>
      <xdr:nvPicPr>
        <xdr:cNvPr id="219" name="Picture 218" descr="http://www.abs.gov.au/icons/ecblank.gif">
          <a:extLst>
            <a:ext uri="{FF2B5EF4-FFF2-40B4-BE49-F238E27FC236}">
              <a16:creationId xmlns:a16="http://schemas.microsoft.com/office/drawing/2014/main" id="{26FE780B-B951-2148-9D3E-BD076BB8C4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17</xdr:row>
      <xdr:rowOff>0</xdr:rowOff>
    </xdr:from>
    <xdr:ext cx="9525" cy="9525"/>
    <xdr:pic>
      <xdr:nvPicPr>
        <xdr:cNvPr id="220" name="Picture 219" descr="http://www.abs.gov.au/icons/ecblank.gif">
          <a:extLst>
            <a:ext uri="{FF2B5EF4-FFF2-40B4-BE49-F238E27FC236}">
              <a16:creationId xmlns:a16="http://schemas.microsoft.com/office/drawing/2014/main" id="{5446F5B5-8166-BD4B-A5A8-C825C2EDC4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9525" cy="9525"/>
    <xdr:pic>
      <xdr:nvPicPr>
        <xdr:cNvPr id="221" name="Picture 220" descr="http://www.abs.gov.au/icons/ecblank.gif">
          <a:extLst>
            <a:ext uri="{FF2B5EF4-FFF2-40B4-BE49-F238E27FC236}">
              <a16:creationId xmlns:a16="http://schemas.microsoft.com/office/drawing/2014/main" id="{493F85E1-ACF5-A143-B69C-EA9F196A7CC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9525" cy="9525"/>
    <xdr:pic>
      <xdr:nvPicPr>
        <xdr:cNvPr id="222" name="Picture 221" descr="http://www.abs.gov.au/icons/ecblank.gif">
          <a:extLst>
            <a:ext uri="{FF2B5EF4-FFF2-40B4-BE49-F238E27FC236}">
              <a16:creationId xmlns:a16="http://schemas.microsoft.com/office/drawing/2014/main" id="{4F9DDB76-DE04-A049-B978-D7506FAC28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9525" cy="9525"/>
    <xdr:pic>
      <xdr:nvPicPr>
        <xdr:cNvPr id="223" name="Picture 222" descr="http://www.abs.gov.au/icons/ecblank.gif">
          <a:extLst>
            <a:ext uri="{FF2B5EF4-FFF2-40B4-BE49-F238E27FC236}">
              <a16:creationId xmlns:a16="http://schemas.microsoft.com/office/drawing/2014/main" id="{B6EA694F-D9E4-5140-B58C-C4E3A2B80C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9525" cy="9525"/>
    <xdr:pic>
      <xdr:nvPicPr>
        <xdr:cNvPr id="224" name="Picture 223" descr="http://www.abs.gov.au/icons/ecblank.gif">
          <a:extLst>
            <a:ext uri="{FF2B5EF4-FFF2-40B4-BE49-F238E27FC236}">
              <a16:creationId xmlns:a16="http://schemas.microsoft.com/office/drawing/2014/main" id="{40D54F88-0135-FC4A-AC19-C14A01F7CCC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9525" cy="9525"/>
    <xdr:pic>
      <xdr:nvPicPr>
        <xdr:cNvPr id="225" name="Picture 224" descr="http://www.abs.gov.au/icons/ecblank.gif">
          <a:extLst>
            <a:ext uri="{FF2B5EF4-FFF2-40B4-BE49-F238E27FC236}">
              <a16:creationId xmlns:a16="http://schemas.microsoft.com/office/drawing/2014/main" id="{8A5926C8-19DF-8C48-92B7-C87E70C095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17</xdr:row>
      <xdr:rowOff>0</xdr:rowOff>
    </xdr:from>
    <xdr:ext cx="9525" cy="9525"/>
    <xdr:pic>
      <xdr:nvPicPr>
        <xdr:cNvPr id="226" name="Picture 225" descr="http://www.abs.gov.au/icons/ecblank.gif">
          <a:extLst>
            <a:ext uri="{FF2B5EF4-FFF2-40B4-BE49-F238E27FC236}">
              <a16:creationId xmlns:a16="http://schemas.microsoft.com/office/drawing/2014/main" id="{D37A52BD-EF7E-C046-84B0-6F3D8481FC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17</xdr:row>
      <xdr:rowOff>0</xdr:rowOff>
    </xdr:from>
    <xdr:ext cx="9525" cy="9525"/>
    <xdr:pic>
      <xdr:nvPicPr>
        <xdr:cNvPr id="227" name="Picture 226" descr="http://www.abs.gov.au/icons/ecblank.gif">
          <a:extLst>
            <a:ext uri="{FF2B5EF4-FFF2-40B4-BE49-F238E27FC236}">
              <a16:creationId xmlns:a16="http://schemas.microsoft.com/office/drawing/2014/main" id="{223D7E76-6560-124A-80FE-F4D15864D7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02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17</xdr:row>
      <xdr:rowOff>0</xdr:rowOff>
    </xdr:from>
    <xdr:ext cx="9525" cy="9525"/>
    <xdr:pic>
      <xdr:nvPicPr>
        <xdr:cNvPr id="228" name="Picture 227" descr="http://www.abs.gov.au/icons/ecblank.gif">
          <a:extLst>
            <a:ext uri="{FF2B5EF4-FFF2-40B4-BE49-F238E27FC236}">
              <a16:creationId xmlns:a16="http://schemas.microsoft.com/office/drawing/2014/main" id="{8051F2CA-3F7D-2444-BC83-26C9E362D7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17</xdr:row>
      <xdr:rowOff>0</xdr:rowOff>
    </xdr:from>
    <xdr:ext cx="9525" cy="9525"/>
    <xdr:pic>
      <xdr:nvPicPr>
        <xdr:cNvPr id="229" name="Picture 228" descr="http://www.abs.gov.au/icons/ecblank.gif">
          <a:extLst>
            <a:ext uri="{FF2B5EF4-FFF2-40B4-BE49-F238E27FC236}">
              <a16:creationId xmlns:a16="http://schemas.microsoft.com/office/drawing/2014/main" id="{13A6FB36-5440-8643-B876-2A68FDB20A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9525" cy="9525"/>
    <xdr:pic>
      <xdr:nvPicPr>
        <xdr:cNvPr id="230" name="Picture 229" descr="http://www.abs.gov.au/icons/ecblank.gif">
          <a:extLst>
            <a:ext uri="{FF2B5EF4-FFF2-40B4-BE49-F238E27FC236}">
              <a16:creationId xmlns:a16="http://schemas.microsoft.com/office/drawing/2014/main" id="{2E5B06CA-2DB2-B44A-9D28-F3A101B1FD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9525" cy="9525"/>
    <xdr:pic>
      <xdr:nvPicPr>
        <xdr:cNvPr id="231" name="Picture 230" descr="http://www.abs.gov.au/icons/ecblank.gif">
          <a:extLst>
            <a:ext uri="{FF2B5EF4-FFF2-40B4-BE49-F238E27FC236}">
              <a16:creationId xmlns:a16="http://schemas.microsoft.com/office/drawing/2014/main" id="{D6B4F944-0898-4E43-AC80-FD9D20BB54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9525" cy="9525"/>
    <xdr:pic>
      <xdr:nvPicPr>
        <xdr:cNvPr id="232" name="Picture 231" descr="http://www.abs.gov.au/icons/ecblank.gif">
          <a:extLst>
            <a:ext uri="{FF2B5EF4-FFF2-40B4-BE49-F238E27FC236}">
              <a16:creationId xmlns:a16="http://schemas.microsoft.com/office/drawing/2014/main" id="{5BEE0468-6BD5-1948-B555-EE097A00B7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9525" cy="9525"/>
    <xdr:pic>
      <xdr:nvPicPr>
        <xdr:cNvPr id="233" name="Picture 232" descr="http://www.abs.gov.au/icons/ecblank.gif">
          <a:extLst>
            <a:ext uri="{FF2B5EF4-FFF2-40B4-BE49-F238E27FC236}">
              <a16:creationId xmlns:a16="http://schemas.microsoft.com/office/drawing/2014/main" id="{4A7041EF-EA8B-9346-88B7-D16FFF64C8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17</xdr:row>
      <xdr:rowOff>0</xdr:rowOff>
    </xdr:from>
    <xdr:ext cx="9525" cy="9525"/>
    <xdr:pic>
      <xdr:nvPicPr>
        <xdr:cNvPr id="234" name="Picture 233" descr="http://www.abs.gov.au/icons/ecblank.gif">
          <a:extLst>
            <a:ext uri="{FF2B5EF4-FFF2-40B4-BE49-F238E27FC236}">
              <a16:creationId xmlns:a16="http://schemas.microsoft.com/office/drawing/2014/main" id="{EB9422BA-F03F-6F48-9CFC-AF72A0946A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17</xdr:row>
      <xdr:rowOff>0</xdr:rowOff>
    </xdr:from>
    <xdr:ext cx="9525" cy="9525"/>
    <xdr:pic>
      <xdr:nvPicPr>
        <xdr:cNvPr id="235" name="Picture 234" descr="http://www.abs.gov.au/icons/ecblank.gif">
          <a:extLst>
            <a:ext uri="{FF2B5EF4-FFF2-40B4-BE49-F238E27FC236}">
              <a16:creationId xmlns:a16="http://schemas.microsoft.com/office/drawing/2014/main" id="{4A27BB9D-738B-1E4E-8EE9-9C2026CF12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02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17</xdr:row>
      <xdr:rowOff>0</xdr:rowOff>
    </xdr:from>
    <xdr:ext cx="9525" cy="9525"/>
    <xdr:pic>
      <xdr:nvPicPr>
        <xdr:cNvPr id="236" name="Picture 235" descr="http://www.abs.gov.au/icons/ecblank.gif">
          <a:extLst>
            <a:ext uri="{FF2B5EF4-FFF2-40B4-BE49-F238E27FC236}">
              <a16:creationId xmlns:a16="http://schemas.microsoft.com/office/drawing/2014/main" id="{F69EF1CB-6B74-5446-8EBE-4B8966E48F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17</xdr:row>
      <xdr:rowOff>0</xdr:rowOff>
    </xdr:from>
    <xdr:ext cx="9525" cy="9525"/>
    <xdr:pic>
      <xdr:nvPicPr>
        <xdr:cNvPr id="237" name="Picture 236" descr="http://www.abs.gov.au/icons/ecblank.gif">
          <a:extLst>
            <a:ext uri="{FF2B5EF4-FFF2-40B4-BE49-F238E27FC236}">
              <a16:creationId xmlns:a16="http://schemas.microsoft.com/office/drawing/2014/main" id="{78A66155-97DA-954C-BAEE-87EBD64374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9525" cy="9525"/>
    <xdr:pic>
      <xdr:nvPicPr>
        <xdr:cNvPr id="238" name="Picture 237" descr="http://www.abs.gov.au/icons/ecblank.gif">
          <a:extLst>
            <a:ext uri="{FF2B5EF4-FFF2-40B4-BE49-F238E27FC236}">
              <a16:creationId xmlns:a16="http://schemas.microsoft.com/office/drawing/2014/main" id="{D9FDBC5E-A782-314F-B8D3-6CDB55E7EFF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9525" cy="9525"/>
    <xdr:pic>
      <xdr:nvPicPr>
        <xdr:cNvPr id="239" name="Picture 238" descr="http://www.abs.gov.au/icons/ecblank.gif">
          <a:extLst>
            <a:ext uri="{FF2B5EF4-FFF2-40B4-BE49-F238E27FC236}">
              <a16:creationId xmlns:a16="http://schemas.microsoft.com/office/drawing/2014/main" id="{863EFE78-F284-014B-B90F-722361559A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9525" cy="9525"/>
    <xdr:pic>
      <xdr:nvPicPr>
        <xdr:cNvPr id="240" name="Picture 239" descr="http://www.abs.gov.au/icons/ecblank.gif">
          <a:extLst>
            <a:ext uri="{FF2B5EF4-FFF2-40B4-BE49-F238E27FC236}">
              <a16:creationId xmlns:a16="http://schemas.microsoft.com/office/drawing/2014/main" id="{AE7006F5-935B-6247-9B08-75020EF568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17</xdr:row>
      <xdr:rowOff>0</xdr:rowOff>
    </xdr:from>
    <xdr:ext cx="9525" cy="9525"/>
    <xdr:pic>
      <xdr:nvPicPr>
        <xdr:cNvPr id="241" name="Picture 240" descr="http://www.abs.gov.au/icons/ecblank.gif">
          <a:extLst>
            <a:ext uri="{FF2B5EF4-FFF2-40B4-BE49-F238E27FC236}">
              <a16:creationId xmlns:a16="http://schemas.microsoft.com/office/drawing/2014/main" id="{46356B01-8774-5449-B41A-98B3011918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17</xdr:row>
      <xdr:rowOff>0</xdr:rowOff>
    </xdr:from>
    <xdr:ext cx="9525" cy="9525"/>
    <xdr:pic>
      <xdr:nvPicPr>
        <xdr:cNvPr id="242" name="Picture 241" descr="http://www.abs.gov.au/icons/ecblank.gif">
          <a:extLst>
            <a:ext uri="{FF2B5EF4-FFF2-40B4-BE49-F238E27FC236}">
              <a16:creationId xmlns:a16="http://schemas.microsoft.com/office/drawing/2014/main" id="{3C23486E-E1FA-5348-BEEB-583D2D2547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02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17</xdr:row>
      <xdr:rowOff>0</xdr:rowOff>
    </xdr:from>
    <xdr:ext cx="9525" cy="9525"/>
    <xdr:pic>
      <xdr:nvPicPr>
        <xdr:cNvPr id="243" name="Picture 242" descr="http://www.abs.gov.au/icons/ecblank.gif">
          <a:extLst>
            <a:ext uri="{FF2B5EF4-FFF2-40B4-BE49-F238E27FC236}">
              <a16:creationId xmlns:a16="http://schemas.microsoft.com/office/drawing/2014/main" id="{F99BDEBE-AD1A-8144-A5E0-3F4FFC1559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17</xdr:row>
      <xdr:rowOff>0</xdr:rowOff>
    </xdr:from>
    <xdr:ext cx="9525" cy="9525"/>
    <xdr:pic>
      <xdr:nvPicPr>
        <xdr:cNvPr id="244" name="Picture 243" descr="http://www.abs.gov.au/icons/ecblank.gif">
          <a:extLst>
            <a:ext uri="{FF2B5EF4-FFF2-40B4-BE49-F238E27FC236}">
              <a16:creationId xmlns:a16="http://schemas.microsoft.com/office/drawing/2014/main" id="{B9BF3DD0-9054-0541-BF1A-425B8EA6E9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9525" cy="9525"/>
    <xdr:pic>
      <xdr:nvPicPr>
        <xdr:cNvPr id="245" name="Picture 244" descr="http://www.abs.gov.au/icons/ecblank.gif">
          <a:extLst>
            <a:ext uri="{FF2B5EF4-FFF2-40B4-BE49-F238E27FC236}">
              <a16:creationId xmlns:a16="http://schemas.microsoft.com/office/drawing/2014/main" id="{4E731501-259A-104C-B3CB-B33F3F3715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9525" cy="9525"/>
    <xdr:pic>
      <xdr:nvPicPr>
        <xdr:cNvPr id="246" name="Picture 245" descr="http://www.abs.gov.au/icons/ecblank.gif">
          <a:extLst>
            <a:ext uri="{FF2B5EF4-FFF2-40B4-BE49-F238E27FC236}">
              <a16:creationId xmlns:a16="http://schemas.microsoft.com/office/drawing/2014/main" id="{FF05A18D-FA35-8C4F-BDE0-FFC12FA80F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9525" cy="9525"/>
    <xdr:pic>
      <xdr:nvPicPr>
        <xdr:cNvPr id="247" name="Picture 246" descr="http://www.abs.gov.au/icons/ecblank.gif">
          <a:extLst>
            <a:ext uri="{FF2B5EF4-FFF2-40B4-BE49-F238E27FC236}">
              <a16:creationId xmlns:a16="http://schemas.microsoft.com/office/drawing/2014/main" id="{59CBB51F-6670-8B40-A1FE-BB6A19DD9B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9525" cy="9525"/>
    <xdr:pic>
      <xdr:nvPicPr>
        <xdr:cNvPr id="248" name="Picture 247" descr="http://www.abs.gov.au/icons/ecblank.gif">
          <a:extLst>
            <a:ext uri="{FF2B5EF4-FFF2-40B4-BE49-F238E27FC236}">
              <a16:creationId xmlns:a16="http://schemas.microsoft.com/office/drawing/2014/main" id="{8F3082DE-4FE2-5B4A-A2A2-513E767C0B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9525" cy="9525"/>
    <xdr:pic>
      <xdr:nvPicPr>
        <xdr:cNvPr id="249" name="Picture 248" descr="http://www.abs.gov.au/icons/ecblank.gif">
          <a:extLst>
            <a:ext uri="{FF2B5EF4-FFF2-40B4-BE49-F238E27FC236}">
              <a16:creationId xmlns:a16="http://schemas.microsoft.com/office/drawing/2014/main" id="{85D80289-45FB-0A42-8CA3-2CE6C05BA6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9525" cy="9525"/>
    <xdr:pic>
      <xdr:nvPicPr>
        <xdr:cNvPr id="250" name="Picture 249" descr="http://www.abs.gov.au/icons/ecblank.gif">
          <a:extLst>
            <a:ext uri="{FF2B5EF4-FFF2-40B4-BE49-F238E27FC236}">
              <a16:creationId xmlns:a16="http://schemas.microsoft.com/office/drawing/2014/main" id="{7D372143-EA87-D545-B626-F42F74353A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17</xdr:row>
      <xdr:rowOff>0</xdr:rowOff>
    </xdr:from>
    <xdr:ext cx="9525" cy="9525"/>
    <xdr:pic>
      <xdr:nvPicPr>
        <xdr:cNvPr id="251" name="Picture 250" descr="http://www.abs.gov.au/icons/ecblank.gif">
          <a:extLst>
            <a:ext uri="{FF2B5EF4-FFF2-40B4-BE49-F238E27FC236}">
              <a16:creationId xmlns:a16="http://schemas.microsoft.com/office/drawing/2014/main" id="{4CB324F8-8CE3-3D4B-B36D-95531FFAA5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17</xdr:row>
      <xdr:rowOff>0</xdr:rowOff>
    </xdr:from>
    <xdr:ext cx="9525" cy="9525"/>
    <xdr:pic>
      <xdr:nvPicPr>
        <xdr:cNvPr id="252" name="Picture 251" descr="http://www.abs.gov.au/icons/ecblank.gif">
          <a:extLst>
            <a:ext uri="{FF2B5EF4-FFF2-40B4-BE49-F238E27FC236}">
              <a16:creationId xmlns:a16="http://schemas.microsoft.com/office/drawing/2014/main" id="{934C2383-FC26-C440-9F18-7C2FC5B7E2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02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17</xdr:row>
      <xdr:rowOff>0</xdr:rowOff>
    </xdr:from>
    <xdr:ext cx="9525" cy="9525"/>
    <xdr:pic>
      <xdr:nvPicPr>
        <xdr:cNvPr id="253" name="Picture 252" descr="http://www.abs.gov.au/icons/ecblank.gif">
          <a:extLst>
            <a:ext uri="{FF2B5EF4-FFF2-40B4-BE49-F238E27FC236}">
              <a16:creationId xmlns:a16="http://schemas.microsoft.com/office/drawing/2014/main" id="{941C3552-B6B0-C54E-B21A-C29E6C88683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17</xdr:row>
      <xdr:rowOff>0</xdr:rowOff>
    </xdr:from>
    <xdr:ext cx="9525" cy="9525"/>
    <xdr:pic>
      <xdr:nvPicPr>
        <xdr:cNvPr id="254" name="Picture 253" descr="http://www.abs.gov.au/icons/ecblank.gif">
          <a:extLst>
            <a:ext uri="{FF2B5EF4-FFF2-40B4-BE49-F238E27FC236}">
              <a16:creationId xmlns:a16="http://schemas.microsoft.com/office/drawing/2014/main" id="{19BCA8AA-C57F-8F40-9E09-A2E82D9262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9525" cy="9525"/>
    <xdr:pic>
      <xdr:nvPicPr>
        <xdr:cNvPr id="255" name="Picture 254" descr="http://www.abs.gov.au/icons/ecblank.gif">
          <a:extLst>
            <a:ext uri="{FF2B5EF4-FFF2-40B4-BE49-F238E27FC236}">
              <a16:creationId xmlns:a16="http://schemas.microsoft.com/office/drawing/2014/main" id="{5C329723-0A6E-1F4C-86E4-49E213C410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9525" cy="9525"/>
    <xdr:pic>
      <xdr:nvPicPr>
        <xdr:cNvPr id="256" name="Picture 255" descr="http://www.abs.gov.au/icons/ecblank.gif">
          <a:extLst>
            <a:ext uri="{FF2B5EF4-FFF2-40B4-BE49-F238E27FC236}">
              <a16:creationId xmlns:a16="http://schemas.microsoft.com/office/drawing/2014/main" id="{D57A52D0-E1D6-3440-96DD-03418B4001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9525" cy="9525"/>
    <xdr:pic>
      <xdr:nvPicPr>
        <xdr:cNvPr id="257" name="Picture 256" descr="http://www.abs.gov.au/icons/ecblank.gif">
          <a:extLst>
            <a:ext uri="{FF2B5EF4-FFF2-40B4-BE49-F238E27FC236}">
              <a16:creationId xmlns:a16="http://schemas.microsoft.com/office/drawing/2014/main" id="{FA7493F6-2729-CF46-BA5C-AA908AE635D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9525" cy="9525"/>
    <xdr:pic>
      <xdr:nvPicPr>
        <xdr:cNvPr id="258" name="Picture 257" descr="http://www.abs.gov.au/icons/ecblank.gif">
          <a:extLst>
            <a:ext uri="{FF2B5EF4-FFF2-40B4-BE49-F238E27FC236}">
              <a16:creationId xmlns:a16="http://schemas.microsoft.com/office/drawing/2014/main" id="{00C01FCA-A225-A943-B353-36F83BE198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9525" cy="9525"/>
    <xdr:pic>
      <xdr:nvPicPr>
        <xdr:cNvPr id="259" name="Picture 258" descr="http://www.abs.gov.au/icons/ecblank.gif">
          <a:extLst>
            <a:ext uri="{FF2B5EF4-FFF2-40B4-BE49-F238E27FC236}">
              <a16:creationId xmlns:a16="http://schemas.microsoft.com/office/drawing/2014/main" id="{BADE7772-0133-2248-9A33-5C3481E6CF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9525" cy="9525"/>
    <xdr:pic>
      <xdr:nvPicPr>
        <xdr:cNvPr id="260" name="Picture 259" descr="http://www.abs.gov.au/icons/ecblank.gif">
          <a:extLst>
            <a:ext uri="{FF2B5EF4-FFF2-40B4-BE49-F238E27FC236}">
              <a16:creationId xmlns:a16="http://schemas.microsoft.com/office/drawing/2014/main" id="{F44D3F8F-4B89-9949-B211-DDD0F9EEC6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17</xdr:row>
      <xdr:rowOff>0</xdr:rowOff>
    </xdr:from>
    <xdr:ext cx="9525" cy="9525"/>
    <xdr:pic>
      <xdr:nvPicPr>
        <xdr:cNvPr id="261" name="Picture 260" descr="http://www.abs.gov.au/icons/ecblank.gif">
          <a:extLst>
            <a:ext uri="{FF2B5EF4-FFF2-40B4-BE49-F238E27FC236}">
              <a16:creationId xmlns:a16="http://schemas.microsoft.com/office/drawing/2014/main" id="{A1245828-F15D-1B4B-965C-28A4B51580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17</xdr:row>
      <xdr:rowOff>0</xdr:rowOff>
    </xdr:from>
    <xdr:ext cx="9525" cy="9525"/>
    <xdr:pic>
      <xdr:nvPicPr>
        <xdr:cNvPr id="262" name="Picture 261" descr="http://www.abs.gov.au/icons/ecblank.gif">
          <a:extLst>
            <a:ext uri="{FF2B5EF4-FFF2-40B4-BE49-F238E27FC236}">
              <a16:creationId xmlns:a16="http://schemas.microsoft.com/office/drawing/2014/main" id="{EFE8466D-1861-7F4C-A6F1-C18D7DFD1C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02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17</xdr:row>
      <xdr:rowOff>0</xdr:rowOff>
    </xdr:from>
    <xdr:ext cx="9525" cy="9525"/>
    <xdr:pic>
      <xdr:nvPicPr>
        <xdr:cNvPr id="263" name="Picture 262" descr="http://www.abs.gov.au/icons/ecblank.gif">
          <a:extLst>
            <a:ext uri="{FF2B5EF4-FFF2-40B4-BE49-F238E27FC236}">
              <a16:creationId xmlns:a16="http://schemas.microsoft.com/office/drawing/2014/main" id="{1C14D309-1EDE-134D-B937-9A40165E754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17</xdr:row>
      <xdr:rowOff>0</xdr:rowOff>
    </xdr:from>
    <xdr:ext cx="9525" cy="9525"/>
    <xdr:pic>
      <xdr:nvPicPr>
        <xdr:cNvPr id="264" name="Picture 263" descr="http://www.abs.gov.au/icons/ecblank.gif">
          <a:extLst>
            <a:ext uri="{FF2B5EF4-FFF2-40B4-BE49-F238E27FC236}">
              <a16:creationId xmlns:a16="http://schemas.microsoft.com/office/drawing/2014/main" id="{956E3057-2C42-9744-9B58-7C52E783A23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9525" cy="9525"/>
    <xdr:pic>
      <xdr:nvPicPr>
        <xdr:cNvPr id="265" name="Picture 264" descr="http://www.abs.gov.au/icons/ecblank.gif">
          <a:extLst>
            <a:ext uri="{FF2B5EF4-FFF2-40B4-BE49-F238E27FC236}">
              <a16:creationId xmlns:a16="http://schemas.microsoft.com/office/drawing/2014/main" id="{353ACB97-1C30-F04E-9950-345C2E68B1B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9525" cy="9525"/>
    <xdr:pic>
      <xdr:nvPicPr>
        <xdr:cNvPr id="266" name="Picture 265" descr="http://www.abs.gov.au/icons/ecblank.gif">
          <a:extLst>
            <a:ext uri="{FF2B5EF4-FFF2-40B4-BE49-F238E27FC236}">
              <a16:creationId xmlns:a16="http://schemas.microsoft.com/office/drawing/2014/main" id="{EEE11770-988F-3F47-8BB3-E92774123F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9525" cy="9525"/>
    <xdr:pic>
      <xdr:nvPicPr>
        <xdr:cNvPr id="267" name="Picture 266" descr="http://www.abs.gov.au/icons/ecblank.gif">
          <a:extLst>
            <a:ext uri="{FF2B5EF4-FFF2-40B4-BE49-F238E27FC236}">
              <a16:creationId xmlns:a16="http://schemas.microsoft.com/office/drawing/2014/main" id="{EB8D9A49-AFF8-A447-AC8B-6179701839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9525" cy="9525"/>
    <xdr:pic>
      <xdr:nvPicPr>
        <xdr:cNvPr id="268" name="Picture 267" descr="http://www.abs.gov.au/icons/ecblank.gif">
          <a:extLst>
            <a:ext uri="{FF2B5EF4-FFF2-40B4-BE49-F238E27FC236}">
              <a16:creationId xmlns:a16="http://schemas.microsoft.com/office/drawing/2014/main" id="{A087E56F-DBC1-6F43-9080-DF73FCA3D5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9525" cy="9525"/>
    <xdr:pic>
      <xdr:nvPicPr>
        <xdr:cNvPr id="269" name="Picture 268" descr="http://www.abs.gov.au/icons/ecblank.gif">
          <a:extLst>
            <a:ext uri="{FF2B5EF4-FFF2-40B4-BE49-F238E27FC236}">
              <a16:creationId xmlns:a16="http://schemas.microsoft.com/office/drawing/2014/main" id="{F55F5054-BC67-4844-9783-7428CED9D0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17</xdr:row>
      <xdr:rowOff>0</xdr:rowOff>
    </xdr:from>
    <xdr:ext cx="9525" cy="9525"/>
    <xdr:pic>
      <xdr:nvPicPr>
        <xdr:cNvPr id="270" name="Picture 269" descr="http://www.abs.gov.au/icons/ecblank.gif">
          <a:extLst>
            <a:ext uri="{FF2B5EF4-FFF2-40B4-BE49-F238E27FC236}">
              <a16:creationId xmlns:a16="http://schemas.microsoft.com/office/drawing/2014/main" id="{D7D26532-A07E-4343-80C7-C8A9E65955C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17</xdr:row>
      <xdr:rowOff>0</xdr:rowOff>
    </xdr:from>
    <xdr:ext cx="9525" cy="9525"/>
    <xdr:pic>
      <xdr:nvPicPr>
        <xdr:cNvPr id="271" name="Picture 270" descr="http://www.abs.gov.au/icons/ecblank.gif">
          <a:extLst>
            <a:ext uri="{FF2B5EF4-FFF2-40B4-BE49-F238E27FC236}">
              <a16:creationId xmlns:a16="http://schemas.microsoft.com/office/drawing/2014/main" id="{73188B92-ECC7-7847-9614-8AED72E3DA4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02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17</xdr:row>
      <xdr:rowOff>0</xdr:rowOff>
    </xdr:from>
    <xdr:ext cx="9525" cy="9525"/>
    <xdr:pic>
      <xdr:nvPicPr>
        <xdr:cNvPr id="272" name="Picture 271" descr="http://www.abs.gov.au/icons/ecblank.gif">
          <a:extLst>
            <a:ext uri="{FF2B5EF4-FFF2-40B4-BE49-F238E27FC236}">
              <a16:creationId xmlns:a16="http://schemas.microsoft.com/office/drawing/2014/main" id="{686C2727-8F62-E44D-A7AA-77356EB392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17</xdr:row>
      <xdr:rowOff>0</xdr:rowOff>
    </xdr:from>
    <xdr:ext cx="9525" cy="9525"/>
    <xdr:pic>
      <xdr:nvPicPr>
        <xdr:cNvPr id="273" name="Picture 272" descr="http://www.abs.gov.au/icons/ecblank.gif">
          <a:extLst>
            <a:ext uri="{FF2B5EF4-FFF2-40B4-BE49-F238E27FC236}">
              <a16:creationId xmlns:a16="http://schemas.microsoft.com/office/drawing/2014/main" id="{AD918999-349A-984E-B99A-B7B4F3BFFB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9525" cy="9525"/>
    <xdr:pic>
      <xdr:nvPicPr>
        <xdr:cNvPr id="274" name="Picture 273" descr="http://www.abs.gov.au/icons/ecblank.gif">
          <a:extLst>
            <a:ext uri="{FF2B5EF4-FFF2-40B4-BE49-F238E27FC236}">
              <a16:creationId xmlns:a16="http://schemas.microsoft.com/office/drawing/2014/main" id="{034EE8CF-34A2-FF4D-980A-6558DE6CD3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9525" cy="9525"/>
    <xdr:pic>
      <xdr:nvPicPr>
        <xdr:cNvPr id="275" name="Picture 274" descr="http://www.abs.gov.au/icons/ecblank.gif">
          <a:extLst>
            <a:ext uri="{FF2B5EF4-FFF2-40B4-BE49-F238E27FC236}">
              <a16:creationId xmlns:a16="http://schemas.microsoft.com/office/drawing/2014/main" id="{ABC05981-C28A-7E45-8F1A-3674CF3867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9525" cy="9525"/>
    <xdr:pic>
      <xdr:nvPicPr>
        <xdr:cNvPr id="276" name="Picture 275" descr="http://www.abs.gov.au/icons/ecblank.gif">
          <a:extLst>
            <a:ext uri="{FF2B5EF4-FFF2-40B4-BE49-F238E27FC236}">
              <a16:creationId xmlns:a16="http://schemas.microsoft.com/office/drawing/2014/main" id="{FAAAA677-E600-124F-A6FB-C952718C66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9525" cy="9525"/>
    <xdr:pic>
      <xdr:nvPicPr>
        <xdr:cNvPr id="277" name="Picture 276" descr="http://www.abs.gov.au/icons/ecblank.gif">
          <a:extLst>
            <a:ext uri="{FF2B5EF4-FFF2-40B4-BE49-F238E27FC236}">
              <a16:creationId xmlns:a16="http://schemas.microsoft.com/office/drawing/2014/main" id="{B8B07C17-D890-BE44-A7D9-947CECC94C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9525" cy="9525"/>
    <xdr:pic>
      <xdr:nvPicPr>
        <xdr:cNvPr id="278" name="Picture 277" descr="http://www.abs.gov.au/icons/ecblank.gif">
          <a:extLst>
            <a:ext uri="{FF2B5EF4-FFF2-40B4-BE49-F238E27FC236}">
              <a16:creationId xmlns:a16="http://schemas.microsoft.com/office/drawing/2014/main" id="{84748C26-9322-C348-9165-C4C36C8CE8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9525" cy="9525"/>
    <xdr:pic>
      <xdr:nvPicPr>
        <xdr:cNvPr id="279" name="Picture 278" descr="http://www.abs.gov.au/icons/ecblank.gif">
          <a:extLst>
            <a:ext uri="{FF2B5EF4-FFF2-40B4-BE49-F238E27FC236}">
              <a16:creationId xmlns:a16="http://schemas.microsoft.com/office/drawing/2014/main" id="{9263A764-FE4D-CC4A-9B76-C60E2E0733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17</xdr:row>
      <xdr:rowOff>0</xdr:rowOff>
    </xdr:from>
    <xdr:ext cx="9525" cy="9525"/>
    <xdr:pic>
      <xdr:nvPicPr>
        <xdr:cNvPr id="280" name="Picture 279" descr="http://www.abs.gov.au/icons/ecblank.gif">
          <a:extLst>
            <a:ext uri="{FF2B5EF4-FFF2-40B4-BE49-F238E27FC236}">
              <a16:creationId xmlns:a16="http://schemas.microsoft.com/office/drawing/2014/main" id="{E77038B2-3B3C-C947-9ED7-A2047FEDD7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17</xdr:row>
      <xdr:rowOff>0</xdr:rowOff>
    </xdr:from>
    <xdr:ext cx="9525" cy="9525"/>
    <xdr:pic>
      <xdr:nvPicPr>
        <xdr:cNvPr id="281" name="Picture 280" descr="http://www.abs.gov.au/icons/ecblank.gif">
          <a:extLst>
            <a:ext uri="{FF2B5EF4-FFF2-40B4-BE49-F238E27FC236}">
              <a16:creationId xmlns:a16="http://schemas.microsoft.com/office/drawing/2014/main" id="{A9309845-93A5-B146-BB8C-2B40B84A2CC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02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17</xdr:row>
      <xdr:rowOff>0</xdr:rowOff>
    </xdr:from>
    <xdr:ext cx="9525" cy="9525"/>
    <xdr:pic>
      <xdr:nvPicPr>
        <xdr:cNvPr id="282" name="Picture 281" descr="http://www.abs.gov.au/icons/ecblank.gif">
          <a:extLst>
            <a:ext uri="{FF2B5EF4-FFF2-40B4-BE49-F238E27FC236}">
              <a16:creationId xmlns:a16="http://schemas.microsoft.com/office/drawing/2014/main" id="{695387E0-E669-D24F-9374-20D8DEDADD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17</xdr:row>
      <xdr:rowOff>0</xdr:rowOff>
    </xdr:from>
    <xdr:ext cx="9525" cy="9525"/>
    <xdr:pic>
      <xdr:nvPicPr>
        <xdr:cNvPr id="283" name="Picture 282" descr="http://www.abs.gov.au/icons/ecblank.gif">
          <a:extLst>
            <a:ext uri="{FF2B5EF4-FFF2-40B4-BE49-F238E27FC236}">
              <a16:creationId xmlns:a16="http://schemas.microsoft.com/office/drawing/2014/main" id="{D2B27FED-E4D0-9940-B0A6-AA74C755334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9525" cy="9525"/>
    <xdr:pic>
      <xdr:nvPicPr>
        <xdr:cNvPr id="284" name="Picture 283" descr="http://www.abs.gov.au/icons/ecblank.gif">
          <a:extLst>
            <a:ext uri="{FF2B5EF4-FFF2-40B4-BE49-F238E27FC236}">
              <a16:creationId xmlns:a16="http://schemas.microsoft.com/office/drawing/2014/main" id="{CCA45808-6942-234B-9B96-7AB3A90453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9525" cy="9525"/>
    <xdr:pic>
      <xdr:nvPicPr>
        <xdr:cNvPr id="285" name="Picture 284" descr="http://www.abs.gov.au/icons/ecblank.gif">
          <a:extLst>
            <a:ext uri="{FF2B5EF4-FFF2-40B4-BE49-F238E27FC236}">
              <a16:creationId xmlns:a16="http://schemas.microsoft.com/office/drawing/2014/main" id="{4C70CF40-22F8-0E42-BD36-DFD9317534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9525" cy="9525"/>
    <xdr:pic>
      <xdr:nvPicPr>
        <xdr:cNvPr id="286" name="Picture 285" descr="http://www.abs.gov.au/icons/ecblank.gif">
          <a:extLst>
            <a:ext uri="{FF2B5EF4-FFF2-40B4-BE49-F238E27FC236}">
              <a16:creationId xmlns:a16="http://schemas.microsoft.com/office/drawing/2014/main" id="{194AE18F-9E90-BE4B-AB41-4AC6F2488D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9525" cy="9525"/>
    <xdr:pic>
      <xdr:nvPicPr>
        <xdr:cNvPr id="287" name="Picture 286" descr="http://www.abs.gov.au/icons/ecblank.gif">
          <a:extLst>
            <a:ext uri="{FF2B5EF4-FFF2-40B4-BE49-F238E27FC236}">
              <a16:creationId xmlns:a16="http://schemas.microsoft.com/office/drawing/2014/main" id="{A0B4B508-A274-C24A-A364-5BE2356D54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9525" cy="9525"/>
    <xdr:pic>
      <xdr:nvPicPr>
        <xdr:cNvPr id="288" name="Picture 287" descr="http://www.abs.gov.au/icons/ecblank.gif">
          <a:extLst>
            <a:ext uri="{FF2B5EF4-FFF2-40B4-BE49-F238E27FC236}">
              <a16:creationId xmlns:a16="http://schemas.microsoft.com/office/drawing/2014/main" id="{CE95D24C-45FC-FA4E-967B-91E7B7522A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9525" cy="9525"/>
    <xdr:pic>
      <xdr:nvPicPr>
        <xdr:cNvPr id="289" name="Picture 288" descr="http://www.abs.gov.au/icons/ecblank.gif">
          <a:extLst>
            <a:ext uri="{FF2B5EF4-FFF2-40B4-BE49-F238E27FC236}">
              <a16:creationId xmlns:a16="http://schemas.microsoft.com/office/drawing/2014/main" id="{5866E073-D66B-D84C-8F60-37D14FF8A25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17</xdr:row>
      <xdr:rowOff>0</xdr:rowOff>
    </xdr:from>
    <xdr:ext cx="9525" cy="9525"/>
    <xdr:pic>
      <xdr:nvPicPr>
        <xdr:cNvPr id="290" name="Picture 289" descr="http://www.abs.gov.au/icons/ecblank.gif">
          <a:extLst>
            <a:ext uri="{FF2B5EF4-FFF2-40B4-BE49-F238E27FC236}">
              <a16:creationId xmlns:a16="http://schemas.microsoft.com/office/drawing/2014/main" id="{56706AD3-63CA-484B-ACCB-490ED91AD4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17</xdr:row>
      <xdr:rowOff>0</xdr:rowOff>
    </xdr:from>
    <xdr:ext cx="9525" cy="9525"/>
    <xdr:pic>
      <xdr:nvPicPr>
        <xdr:cNvPr id="291" name="Picture 290" descr="http://www.abs.gov.au/icons/ecblank.gif">
          <a:extLst>
            <a:ext uri="{FF2B5EF4-FFF2-40B4-BE49-F238E27FC236}">
              <a16:creationId xmlns:a16="http://schemas.microsoft.com/office/drawing/2014/main" id="{6A893DAD-5F02-794B-8217-541F3494A7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02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17</xdr:row>
      <xdr:rowOff>0</xdr:rowOff>
    </xdr:from>
    <xdr:ext cx="9525" cy="9525"/>
    <xdr:pic>
      <xdr:nvPicPr>
        <xdr:cNvPr id="292" name="Picture 291" descr="http://www.abs.gov.au/icons/ecblank.gif">
          <a:extLst>
            <a:ext uri="{FF2B5EF4-FFF2-40B4-BE49-F238E27FC236}">
              <a16:creationId xmlns:a16="http://schemas.microsoft.com/office/drawing/2014/main" id="{E680B2E5-297E-1A49-A4F1-DC0BB58982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17</xdr:row>
      <xdr:rowOff>0</xdr:rowOff>
    </xdr:from>
    <xdr:ext cx="9525" cy="9525"/>
    <xdr:pic>
      <xdr:nvPicPr>
        <xdr:cNvPr id="293" name="Picture 292" descr="http://www.abs.gov.au/icons/ecblank.gif">
          <a:extLst>
            <a:ext uri="{FF2B5EF4-FFF2-40B4-BE49-F238E27FC236}">
              <a16:creationId xmlns:a16="http://schemas.microsoft.com/office/drawing/2014/main" id="{63D47386-CA57-054D-8C84-BE0C13D9A4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9525" cy="9525"/>
    <xdr:pic>
      <xdr:nvPicPr>
        <xdr:cNvPr id="294" name="Picture 293" descr="http://www.abs.gov.au/icons/ecblank.gif">
          <a:extLst>
            <a:ext uri="{FF2B5EF4-FFF2-40B4-BE49-F238E27FC236}">
              <a16:creationId xmlns:a16="http://schemas.microsoft.com/office/drawing/2014/main" id="{C937C8B8-14DC-954C-93D1-ECB0689CA6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9525" cy="9525"/>
    <xdr:pic>
      <xdr:nvPicPr>
        <xdr:cNvPr id="295" name="Picture 294" descr="http://www.abs.gov.au/icons/ecblank.gif">
          <a:extLst>
            <a:ext uri="{FF2B5EF4-FFF2-40B4-BE49-F238E27FC236}">
              <a16:creationId xmlns:a16="http://schemas.microsoft.com/office/drawing/2014/main" id="{E4831396-C78A-F94F-BFDE-07C955F9C8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9525" cy="9525"/>
    <xdr:pic>
      <xdr:nvPicPr>
        <xdr:cNvPr id="296" name="Picture 295" descr="http://www.abs.gov.au/icons/ecblank.gif">
          <a:extLst>
            <a:ext uri="{FF2B5EF4-FFF2-40B4-BE49-F238E27FC236}">
              <a16:creationId xmlns:a16="http://schemas.microsoft.com/office/drawing/2014/main" id="{A43BA71C-7884-FB4F-B1FD-1E38EA124C1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9525" cy="9525"/>
    <xdr:pic>
      <xdr:nvPicPr>
        <xdr:cNvPr id="297" name="Picture 296" descr="http://www.abs.gov.au/icons/ecblank.gif">
          <a:extLst>
            <a:ext uri="{FF2B5EF4-FFF2-40B4-BE49-F238E27FC236}">
              <a16:creationId xmlns:a16="http://schemas.microsoft.com/office/drawing/2014/main" id="{09B47E87-EBE2-8B4F-B0AD-8E02EFE468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9525" cy="9525"/>
    <xdr:pic>
      <xdr:nvPicPr>
        <xdr:cNvPr id="298" name="Picture 297" descr="http://www.abs.gov.au/icons/ecblank.gif">
          <a:extLst>
            <a:ext uri="{FF2B5EF4-FFF2-40B4-BE49-F238E27FC236}">
              <a16:creationId xmlns:a16="http://schemas.microsoft.com/office/drawing/2014/main" id="{126168CC-65FF-8B44-88A9-BC3AF2F30D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9525" cy="9525"/>
    <xdr:pic>
      <xdr:nvPicPr>
        <xdr:cNvPr id="299" name="Picture 298" descr="http://www.abs.gov.au/icons/ecblank.gif">
          <a:extLst>
            <a:ext uri="{FF2B5EF4-FFF2-40B4-BE49-F238E27FC236}">
              <a16:creationId xmlns:a16="http://schemas.microsoft.com/office/drawing/2014/main" id="{8CB5A0BA-8028-2249-B940-C57D69B60D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17</xdr:row>
      <xdr:rowOff>0</xdr:rowOff>
    </xdr:from>
    <xdr:ext cx="9525" cy="9525"/>
    <xdr:pic>
      <xdr:nvPicPr>
        <xdr:cNvPr id="300" name="Picture 299" descr="http://www.abs.gov.au/icons/ecblank.gif">
          <a:extLst>
            <a:ext uri="{FF2B5EF4-FFF2-40B4-BE49-F238E27FC236}">
              <a16:creationId xmlns:a16="http://schemas.microsoft.com/office/drawing/2014/main" id="{98B0429F-59C6-3A43-983A-466D11F603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17</xdr:row>
      <xdr:rowOff>0</xdr:rowOff>
    </xdr:from>
    <xdr:ext cx="9525" cy="9525"/>
    <xdr:pic>
      <xdr:nvPicPr>
        <xdr:cNvPr id="301" name="Picture 300" descr="http://www.abs.gov.au/icons/ecblank.gif">
          <a:extLst>
            <a:ext uri="{FF2B5EF4-FFF2-40B4-BE49-F238E27FC236}">
              <a16:creationId xmlns:a16="http://schemas.microsoft.com/office/drawing/2014/main" id="{95ACFD2B-8EB5-D848-998A-F69F57481C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02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17</xdr:row>
      <xdr:rowOff>0</xdr:rowOff>
    </xdr:from>
    <xdr:ext cx="9525" cy="9525"/>
    <xdr:pic>
      <xdr:nvPicPr>
        <xdr:cNvPr id="302" name="Picture 301" descr="http://www.abs.gov.au/icons/ecblank.gif">
          <a:extLst>
            <a:ext uri="{FF2B5EF4-FFF2-40B4-BE49-F238E27FC236}">
              <a16:creationId xmlns:a16="http://schemas.microsoft.com/office/drawing/2014/main" id="{067AA8A4-67F8-9044-9747-B9C8C7158D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17</xdr:row>
      <xdr:rowOff>0</xdr:rowOff>
    </xdr:from>
    <xdr:ext cx="9525" cy="9525"/>
    <xdr:pic>
      <xdr:nvPicPr>
        <xdr:cNvPr id="303" name="Picture 302" descr="http://www.abs.gov.au/icons/ecblank.gif">
          <a:extLst>
            <a:ext uri="{FF2B5EF4-FFF2-40B4-BE49-F238E27FC236}">
              <a16:creationId xmlns:a16="http://schemas.microsoft.com/office/drawing/2014/main" id="{19CD2F85-1FD3-B843-B386-6A85BAD36D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9525" cy="9525"/>
    <xdr:pic>
      <xdr:nvPicPr>
        <xdr:cNvPr id="304" name="Picture 303" descr="http://www.abs.gov.au/icons/ecblank.gif">
          <a:extLst>
            <a:ext uri="{FF2B5EF4-FFF2-40B4-BE49-F238E27FC236}">
              <a16:creationId xmlns:a16="http://schemas.microsoft.com/office/drawing/2014/main" id="{CBA7A358-A832-634C-BEFB-D2D4090668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9525" cy="9525"/>
    <xdr:pic>
      <xdr:nvPicPr>
        <xdr:cNvPr id="305" name="Picture 304" descr="http://www.abs.gov.au/icons/ecblank.gif">
          <a:extLst>
            <a:ext uri="{FF2B5EF4-FFF2-40B4-BE49-F238E27FC236}">
              <a16:creationId xmlns:a16="http://schemas.microsoft.com/office/drawing/2014/main" id="{775660A8-0844-074A-A286-3F1B82AB0F2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9525" cy="9525"/>
    <xdr:pic>
      <xdr:nvPicPr>
        <xdr:cNvPr id="306" name="Picture 305" descr="http://www.abs.gov.au/icons/ecblank.gif">
          <a:extLst>
            <a:ext uri="{FF2B5EF4-FFF2-40B4-BE49-F238E27FC236}">
              <a16:creationId xmlns:a16="http://schemas.microsoft.com/office/drawing/2014/main" id="{300AD76A-50D4-244B-A682-FBD8CFD1A3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9525" cy="9525"/>
    <xdr:pic>
      <xdr:nvPicPr>
        <xdr:cNvPr id="307" name="Picture 306" descr="http://www.abs.gov.au/icons/ecblank.gif">
          <a:extLst>
            <a:ext uri="{FF2B5EF4-FFF2-40B4-BE49-F238E27FC236}">
              <a16:creationId xmlns:a16="http://schemas.microsoft.com/office/drawing/2014/main" id="{67F37ECF-19ED-6046-B6E6-31AEB24117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9525" cy="9525"/>
    <xdr:pic>
      <xdr:nvPicPr>
        <xdr:cNvPr id="308" name="Picture 307" descr="http://www.abs.gov.au/icons/ecblank.gif">
          <a:extLst>
            <a:ext uri="{FF2B5EF4-FFF2-40B4-BE49-F238E27FC236}">
              <a16:creationId xmlns:a16="http://schemas.microsoft.com/office/drawing/2014/main" id="{2EDA71C4-8548-B24A-ADFD-A9154C37B94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17</xdr:row>
      <xdr:rowOff>0</xdr:rowOff>
    </xdr:from>
    <xdr:ext cx="9525" cy="9525"/>
    <xdr:pic>
      <xdr:nvPicPr>
        <xdr:cNvPr id="309" name="Picture 308" descr="http://www.abs.gov.au/icons/ecblank.gif">
          <a:extLst>
            <a:ext uri="{FF2B5EF4-FFF2-40B4-BE49-F238E27FC236}">
              <a16:creationId xmlns:a16="http://schemas.microsoft.com/office/drawing/2014/main" id="{28B93B2D-41A3-C044-8975-A09D8509F9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17</xdr:row>
      <xdr:rowOff>0</xdr:rowOff>
    </xdr:from>
    <xdr:ext cx="9525" cy="9525"/>
    <xdr:pic>
      <xdr:nvPicPr>
        <xdr:cNvPr id="310" name="Picture 309" descr="http://www.abs.gov.au/icons/ecblank.gif">
          <a:extLst>
            <a:ext uri="{FF2B5EF4-FFF2-40B4-BE49-F238E27FC236}">
              <a16:creationId xmlns:a16="http://schemas.microsoft.com/office/drawing/2014/main" id="{C457E297-93C9-C147-A7ED-9DBA8515DF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02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17</xdr:row>
      <xdr:rowOff>0</xdr:rowOff>
    </xdr:from>
    <xdr:ext cx="9525" cy="9525"/>
    <xdr:pic>
      <xdr:nvPicPr>
        <xdr:cNvPr id="311" name="Picture 310" descr="http://www.abs.gov.au/icons/ecblank.gif">
          <a:extLst>
            <a:ext uri="{FF2B5EF4-FFF2-40B4-BE49-F238E27FC236}">
              <a16:creationId xmlns:a16="http://schemas.microsoft.com/office/drawing/2014/main" id="{17F26DA3-D194-3F4A-9293-49E5737036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17</xdr:row>
      <xdr:rowOff>0</xdr:rowOff>
    </xdr:from>
    <xdr:ext cx="9525" cy="9525"/>
    <xdr:pic>
      <xdr:nvPicPr>
        <xdr:cNvPr id="312" name="Picture 311" descr="http://www.abs.gov.au/icons/ecblank.gif">
          <a:extLst>
            <a:ext uri="{FF2B5EF4-FFF2-40B4-BE49-F238E27FC236}">
              <a16:creationId xmlns:a16="http://schemas.microsoft.com/office/drawing/2014/main" id="{0AF12E1D-1E92-D745-99D7-6A00C77071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9525" cy="9525"/>
    <xdr:pic>
      <xdr:nvPicPr>
        <xdr:cNvPr id="313" name="Picture 312" descr="http://www.abs.gov.au/icons/ecblank.gif">
          <a:extLst>
            <a:ext uri="{FF2B5EF4-FFF2-40B4-BE49-F238E27FC236}">
              <a16:creationId xmlns:a16="http://schemas.microsoft.com/office/drawing/2014/main" id="{DA305BC3-417A-CF4C-A68F-BAC34D8309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9525" cy="9525"/>
    <xdr:pic>
      <xdr:nvPicPr>
        <xdr:cNvPr id="314" name="Picture 313" descr="http://www.abs.gov.au/icons/ecblank.gif">
          <a:extLst>
            <a:ext uri="{FF2B5EF4-FFF2-40B4-BE49-F238E27FC236}">
              <a16:creationId xmlns:a16="http://schemas.microsoft.com/office/drawing/2014/main" id="{90051680-9E91-A14A-828F-085A44EADE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9525" cy="9525"/>
    <xdr:pic>
      <xdr:nvPicPr>
        <xdr:cNvPr id="315" name="Picture 314" descr="http://www.abs.gov.au/icons/ecblank.gif">
          <a:extLst>
            <a:ext uri="{FF2B5EF4-FFF2-40B4-BE49-F238E27FC236}">
              <a16:creationId xmlns:a16="http://schemas.microsoft.com/office/drawing/2014/main" id="{43CCE945-7029-2F4B-97A1-91E345F0A3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9525" cy="9525"/>
    <xdr:pic>
      <xdr:nvPicPr>
        <xdr:cNvPr id="316" name="Picture 315" descr="http://www.abs.gov.au/icons/ecblank.gif">
          <a:extLst>
            <a:ext uri="{FF2B5EF4-FFF2-40B4-BE49-F238E27FC236}">
              <a16:creationId xmlns:a16="http://schemas.microsoft.com/office/drawing/2014/main" id="{9CB8F909-F129-1C43-ACCF-DA2CEF7D35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17</xdr:row>
      <xdr:rowOff>0</xdr:rowOff>
    </xdr:from>
    <xdr:ext cx="9525" cy="9525"/>
    <xdr:pic>
      <xdr:nvPicPr>
        <xdr:cNvPr id="317" name="Picture 316" descr="http://www.abs.gov.au/icons/ecblank.gif">
          <a:extLst>
            <a:ext uri="{FF2B5EF4-FFF2-40B4-BE49-F238E27FC236}">
              <a16:creationId xmlns:a16="http://schemas.microsoft.com/office/drawing/2014/main" id="{D97AF3B5-67ED-7D4F-87C1-30B86CE915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17</xdr:row>
      <xdr:rowOff>0</xdr:rowOff>
    </xdr:from>
    <xdr:ext cx="9525" cy="9525"/>
    <xdr:pic>
      <xdr:nvPicPr>
        <xdr:cNvPr id="318" name="Picture 317" descr="http://www.abs.gov.au/icons/ecblank.gif">
          <a:extLst>
            <a:ext uri="{FF2B5EF4-FFF2-40B4-BE49-F238E27FC236}">
              <a16:creationId xmlns:a16="http://schemas.microsoft.com/office/drawing/2014/main" id="{B1143799-83B0-3046-9DBA-F73DB0A361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02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17</xdr:row>
      <xdr:rowOff>0</xdr:rowOff>
    </xdr:from>
    <xdr:ext cx="9525" cy="9525"/>
    <xdr:pic>
      <xdr:nvPicPr>
        <xdr:cNvPr id="319" name="Picture 318" descr="http://www.abs.gov.au/icons/ecblank.gif">
          <a:extLst>
            <a:ext uri="{FF2B5EF4-FFF2-40B4-BE49-F238E27FC236}">
              <a16:creationId xmlns:a16="http://schemas.microsoft.com/office/drawing/2014/main" id="{5A67FA35-F125-E545-B2D1-F5DE78370E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17</xdr:row>
      <xdr:rowOff>0</xdr:rowOff>
    </xdr:from>
    <xdr:ext cx="9525" cy="9525"/>
    <xdr:pic>
      <xdr:nvPicPr>
        <xdr:cNvPr id="320" name="Picture 319" descr="http://www.abs.gov.au/icons/ecblank.gif">
          <a:extLst>
            <a:ext uri="{FF2B5EF4-FFF2-40B4-BE49-F238E27FC236}">
              <a16:creationId xmlns:a16="http://schemas.microsoft.com/office/drawing/2014/main" id="{3DADDD62-01B1-6546-8D66-50BD8917B7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9525" cy="9525"/>
    <xdr:pic>
      <xdr:nvPicPr>
        <xdr:cNvPr id="321" name="Picture 320" descr="http://www.abs.gov.au/icons/ecblank.gif">
          <a:extLst>
            <a:ext uri="{FF2B5EF4-FFF2-40B4-BE49-F238E27FC236}">
              <a16:creationId xmlns:a16="http://schemas.microsoft.com/office/drawing/2014/main" id="{10B1F0B1-E25C-BC40-954F-E5FCF28BB6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9525" cy="9525"/>
    <xdr:pic>
      <xdr:nvPicPr>
        <xdr:cNvPr id="322" name="Picture 321" descr="http://www.abs.gov.au/icons/ecblank.gif">
          <a:extLst>
            <a:ext uri="{FF2B5EF4-FFF2-40B4-BE49-F238E27FC236}">
              <a16:creationId xmlns:a16="http://schemas.microsoft.com/office/drawing/2014/main" id="{07B7563F-36E7-1E4A-BADB-0025DBA8058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9525" cy="9525"/>
    <xdr:pic>
      <xdr:nvPicPr>
        <xdr:cNvPr id="323" name="Picture 322" descr="http://www.abs.gov.au/icons/ecblank.gif">
          <a:extLst>
            <a:ext uri="{FF2B5EF4-FFF2-40B4-BE49-F238E27FC236}">
              <a16:creationId xmlns:a16="http://schemas.microsoft.com/office/drawing/2014/main" id="{F54AE770-B4AE-A347-8F9D-E4C4EC8010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17</xdr:row>
      <xdr:rowOff>0</xdr:rowOff>
    </xdr:from>
    <xdr:ext cx="9525" cy="9525"/>
    <xdr:pic>
      <xdr:nvPicPr>
        <xdr:cNvPr id="324" name="Picture 323" descr="http://www.abs.gov.au/icons/ecblank.gif">
          <a:extLst>
            <a:ext uri="{FF2B5EF4-FFF2-40B4-BE49-F238E27FC236}">
              <a16:creationId xmlns:a16="http://schemas.microsoft.com/office/drawing/2014/main" id="{AFE860A8-BE06-4A4A-A671-1B30FE40C2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17</xdr:row>
      <xdr:rowOff>0</xdr:rowOff>
    </xdr:from>
    <xdr:ext cx="9525" cy="9525"/>
    <xdr:pic>
      <xdr:nvPicPr>
        <xdr:cNvPr id="325" name="Picture 324" descr="http://www.abs.gov.au/icons/ecblank.gif">
          <a:extLst>
            <a:ext uri="{FF2B5EF4-FFF2-40B4-BE49-F238E27FC236}">
              <a16:creationId xmlns:a16="http://schemas.microsoft.com/office/drawing/2014/main" id="{C3B37DBC-B97F-8548-9400-941F0F668A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02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17</xdr:row>
      <xdr:rowOff>0</xdr:rowOff>
    </xdr:from>
    <xdr:ext cx="9525" cy="9525"/>
    <xdr:pic>
      <xdr:nvPicPr>
        <xdr:cNvPr id="326" name="Picture 325" descr="http://www.abs.gov.au/icons/ecblank.gif">
          <a:extLst>
            <a:ext uri="{FF2B5EF4-FFF2-40B4-BE49-F238E27FC236}">
              <a16:creationId xmlns:a16="http://schemas.microsoft.com/office/drawing/2014/main" id="{772B50D2-0FA6-384B-97D5-F1F92B36C3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17</xdr:row>
      <xdr:rowOff>0</xdr:rowOff>
    </xdr:from>
    <xdr:ext cx="9525" cy="9525"/>
    <xdr:pic>
      <xdr:nvPicPr>
        <xdr:cNvPr id="327" name="Picture 326" descr="http://www.abs.gov.au/icons/ecblank.gif">
          <a:extLst>
            <a:ext uri="{FF2B5EF4-FFF2-40B4-BE49-F238E27FC236}">
              <a16:creationId xmlns:a16="http://schemas.microsoft.com/office/drawing/2014/main" id="{77776F90-829C-D74E-BAB2-624E17B147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9525" cy="9525"/>
    <xdr:pic>
      <xdr:nvPicPr>
        <xdr:cNvPr id="328" name="Picture 327" descr="http://www.abs.gov.au/icons/ecblank.gif">
          <a:extLst>
            <a:ext uri="{FF2B5EF4-FFF2-40B4-BE49-F238E27FC236}">
              <a16:creationId xmlns:a16="http://schemas.microsoft.com/office/drawing/2014/main" id="{4730D85E-65C6-EC46-B3CD-77862A381F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9525" cy="9525"/>
    <xdr:pic>
      <xdr:nvPicPr>
        <xdr:cNvPr id="329" name="Picture 328" descr="http://www.abs.gov.au/icons/ecblank.gif">
          <a:extLst>
            <a:ext uri="{FF2B5EF4-FFF2-40B4-BE49-F238E27FC236}">
              <a16:creationId xmlns:a16="http://schemas.microsoft.com/office/drawing/2014/main" id="{0B8E4413-1CC4-A14F-909E-5425BB03BD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9525" cy="9525"/>
    <xdr:pic>
      <xdr:nvPicPr>
        <xdr:cNvPr id="330" name="Picture 329" descr="http://www.abs.gov.au/icons/ecblank.gif">
          <a:extLst>
            <a:ext uri="{FF2B5EF4-FFF2-40B4-BE49-F238E27FC236}">
              <a16:creationId xmlns:a16="http://schemas.microsoft.com/office/drawing/2014/main" id="{6CD84768-9351-4547-A594-0A2C5E198D4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9525" cy="9525"/>
    <xdr:pic>
      <xdr:nvPicPr>
        <xdr:cNvPr id="331" name="Picture 330" descr="http://www.abs.gov.au/icons/ecblank.gif">
          <a:extLst>
            <a:ext uri="{FF2B5EF4-FFF2-40B4-BE49-F238E27FC236}">
              <a16:creationId xmlns:a16="http://schemas.microsoft.com/office/drawing/2014/main" id="{7BB301C4-CB6F-D44B-AA64-CF1BD8FB90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9525" cy="9525"/>
    <xdr:pic>
      <xdr:nvPicPr>
        <xdr:cNvPr id="332" name="Picture 331" descr="http://www.abs.gov.au/icons/ecblank.gif">
          <a:extLst>
            <a:ext uri="{FF2B5EF4-FFF2-40B4-BE49-F238E27FC236}">
              <a16:creationId xmlns:a16="http://schemas.microsoft.com/office/drawing/2014/main" id="{4B79C668-451F-9E44-82C9-2970881DDD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9525" cy="9525"/>
    <xdr:pic>
      <xdr:nvPicPr>
        <xdr:cNvPr id="333" name="Picture 332" descr="http://www.abs.gov.au/icons/ecblank.gif">
          <a:extLst>
            <a:ext uri="{FF2B5EF4-FFF2-40B4-BE49-F238E27FC236}">
              <a16:creationId xmlns:a16="http://schemas.microsoft.com/office/drawing/2014/main" id="{A3C68B26-7CD3-DB40-B9A5-A59E29DE59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0</xdr:colOff>
      <xdr:row>18</xdr:row>
      <xdr:rowOff>0</xdr:rowOff>
    </xdr:from>
    <xdr:ext cx="9525" cy="9525"/>
    <xdr:pic>
      <xdr:nvPicPr>
        <xdr:cNvPr id="334" name="Picture 333" descr="http://www.abs.gov.au/icons/ecblank.gif">
          <a:extLst>
            <a:ext uri="{FF2B5EF4-FFF2-40B4-BE49-F238E27FC236}">
              <a16:creationId xmlns:a16="http://schemas.microsoft.com/office/drawing/2014/main" id="{8BB1975F-F453-C04A-8492-C029EA6DAB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884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18</xdr:row>
      <xdr:rowOff>0</xdr:rowOff>
    </xdr:from>
    <xdr:ext cx="9525" cy="9525"/>
    <xdr:pic>
      <xdr:nvPicPr>
        <xdr:cNvPr id="335" name="Picture 334" descr="http://www.abs.gov.au/icons/ecblank.gif">
          <a:extLst>
            <a:ext uri="{FF2B5EF4-FFF2-40B4-BE49-F238E27FC236}">
              <a16:creationId xmlns:a16="http://schemas.microsoft.com/office/drawing/2014/main" id="{B1C432A1-9350-C44A-9B8E-82AB49428F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18</xdr:row>
      <xdr:rowOff>0</xdr:rowOff>
    </xdr:from>
    <xdr:ext cx="9525" cy="9525"/>
    <xdr:pic>
      <xdr:nvPicPr>
        <xdr:cNvPr id="336" name="Picture 335" descr="http://www.abs.gov.au/icons/ecblank.gif">
          <a:extLst>
            <a:ext uri="{FF2B5EF4-FFF2-40B4-BE49-F238E27FC236}">
              <a16:creationId xmlns:a16="http://schemas.microsoft.com/office/drawing/2014/main" id="{A4F244FB-9969-E14A-A4ED-34999AC497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18</xdr:row>
      <xdr:rowOff>0</xdr:rowOff>
    </xdr:from>
    <xdr:ext cx="9525" cy="9525"/>
    <xdr:pic>
      <xdr:nvPicPr>
        <xdr:cNvPr id="337" name="Picture 336" descr="http://www.abs.gov.au/icons/ecblank.gif">
          <a:extLst>
            <a:ext uri="{FF2B5EF4-FFF2-40B4-BE49-F238E27FC236}">
              <a16:creationId xmlns:a16="http://schemas.microsoft.com/office/drawing/2014/main" id="{00F7CCEC-E943-BB47-9E00-40A4AFD34F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0</xdr:colOff>
      <xdr:row>18</xdr:row>
      <xdr:rowOff>0</xdr:rowOff>
    </xdr:from>
    <xdr:ext cx="9525" cy="9525"/>
    <xdr:pic>
      <xdr:nvPicPr>
        <xdr:cNvPr id="338" name="Picture 337" descr="http://www.abs.gov.au/icons/ecblank.gif">
          <a:extLst>
            <a:ext uri="{FF2B5EF4-FFF2-40B4-BE49-F238E27FC236}">
              <a16:creationId xmlns:a16="http://schemas.microsoft.com/office/drawing/2014/main" id="{79FB5B3E-19A6-314C-A9CF-6CB93B20B8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884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18</xdr:row>
      <xdr:rowOff>0</xdr:rowOff>
    </xdr:from>
    <xdr:ext cx="9525" cy="9525"/>
    <xdr:pic>
      <xdr:nvPicPr>
        <xdr:cNvPr id="339" name="Picture 338" descr="http://www.abs.gov.au/icons/ecblank.gif">
          <a:extLst>
            <a:ext uri="{FF2B5EF4-FFF2-40B4-BE49-F238E27FC236}">
              <a16:creationId xmlns:a16="http://schemas.microsoft.com/office/drawing/2014/main" id="{45365670-EA58-4246-BAD1-27F106F78F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18</xdr:row>
      <xdr:rowOff>0</xdr:rowOff>
    </xdr:from>
    <xdr:ext cx="9525" cy="9525"/>
    <xdr:pic>
      <xdr:nvPicPr>
        <xdr:cNvPr id="340" name="Picture 339" descr="http://www.abs.gov.au/icons/ecblank.gif">
          <a:extLst>
            <a:ext uri="{FF2B5EF4-FFF2-40B4-BE49-F238E27FC236}">
              <a16:creationId xmlns:a16="http://schemas.microsoft.com/office/drawing/2014/main" id="{864AD877-B899-FB4B-9A86-A7AE800133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18</xdr:row>
      <xdr:rowOff>0</xdr:rowOff>
    </xdr:from>
    <xdr:ext cx="9525" cy="9525"/>
    <xdr:pic>
      <xdr:nvPicPr>
        <xdr:cNvPr id="341" name="Picture 340" descr="http://www.abs.gov.au/icons/ecblank.gif">
          <a:extLst>
            <a:ext uri="{FF2B5EF4-FFF2-40B4-BE49-F238E27FC236}">
              <a16:creationId xmlns:a16="http://schemas.microsoft.com/office/drawing/2014/main" id="{5543809A-853A-F947-B7F9-CA37202BB5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0</xdr:colOff>
      <xdr:row>18</xdr:row>
      <xdr:rowOff>0</xdr:rowOff>
    </xdr:from>
    <xdr:ext cx="9525" cy="9525"/>
    <xdr:pic>
      <xdr:nvPicPr>
        <xdr:cNvPr id="342" name="Picture 341" descr="http://www.abs.gov.au/icons/ecblank.gif">
          <a:extLst>
            <a:ext uri="{FF2B5EF4-FFF2-40B4-BE49-F238E27FC236}">
              <a16:creationId xmlns:a16="http://schemas.microsoft.com/office/drawing/2014/main" id="{3A8B0EB1-EFF0-834A-BF1C-8EE204734F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884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18</xdr:row>
      <xdr:rowOff>0</xdr:rowOff>
    </xdr:from>
    <xdr:ext cx="9525" cy="9525"/>
    <xdr:pic>
      <xdr:nvPicPr>
        <xdr:cNvPr id="343" name="Picture 342" descr="http://www.abs.gov.au/icons/ecblank.gif">
          <a:extLst>
            <a:ext uri="{FF2B5EF4-FFF2-40B4-BE49-F238E27FC236}">
              <a16:creationId xmlns:a16="http://schemas.microsoft.com/office/drawing/2014/main" id="{72BE9BFB-052F-5F4E-9C47-666A1E6A55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18</xdr:row>
      <xdr:rowOff>0</xdr:rowOff>
    </xdr:from>
    <xdr:ext cx="9525" cy="9525"/>
    <xdr:pic>
      <xdr:nvPicPr>
        <xdr:cNvPr id="344" name="Picture 343" descr="http://www.abs.gov.au/icons/ecblank.gif">
          <a:extLst>
            <a:ext uri="{FF2B5EF4-FFF2-40B4-BE49-F238E27FC236}">
              <a16:creationId xmlns:a16="http://schemas.microsoft.com/office/drawing/2014/main" id="{0D922C4A-3686-5A43-BC6B-22265EFFC5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18</xdr:row>
      <xdr:rowOff>0</xdr:rowOff>
    </xdr:from>
    <xdr:ext cx="9525" cy="9525"/>
    <xdr:pic>
      <xdr:nvPicPr>
        <xdr:cNvPr id="345" name="Picture 344" descr="http://www.abs.gov.au/icons/ecblank.gif">
          <a:extLst>
            <a:ext uri="{FF2B5EF4-FFF2-40B4-BE49-F238E27FC236}">
              <a16:creationId xmlns:a16="http://schemas.microsoft.com/office/drawing/2014/main" id="{35FB37A7-62C0-E442-A882-6FC684B467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0</xdr:colOff>
      <xdr:row>18</xdr:row>
      <xdr:rowOff>0</xdr:rowOff>
    </xdr:from>
    <xdr:ext cx="9525" cy="9525"/>
    <xdr:pic>
      <xdr:nvPicPr>
        <xdr:cNvPr id="346" name="Picture 345" descr="http://www.abs.gov.au/icons/ecblank.gif">
          <a:extLst>
            <a:ext uri="{FF2B5EF4-FFF2-40B4-BE49-F238E27FC236}">
              <a16:creationId xmlns:a16="http://schemas.microsoft.com/office/drawing/2014/main" id="{420D185C-1189-914F-91CB-1EF738C153C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884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18</xdr:row>
      <xdr:rowOff>0</xdr:rowOff>
    </xdr:from>
    <xdr:ext cx="9525" cy="9525"/>
    <xdr:pic>
      <xdr:nvPicPr>
        <xdr:cNvPr id="347" name="Picture 346" descr="http://www.abs.gov.au/icons/ecblank.gif">
          <a:extLst>
            <a:ext uri="{FF2B5EF4-FFF2-40B4-BE49-F238E27FC236}">
              <a16:creationId xmlns:a16="http://schemas.microsoft.com/office/drawing/2014/main" id="{8BA0BEA4-D53B-A444-B0F3-86EBC4FA6D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18</xdr:row>
      <xdr:rowOff>0</xdr:rowOff>
    </xdr:from>
    <xdr:ext cx="9525" cy="9525"/>
    <xdr:pic>
      <xdr:nvPicPr>
        <xdr:cNvPr id="348" name="Picture 347" descr="http://www.abs.gov.au/icons/ecblank.gif">
          <a:extLst>
            <a:ext uri="{FF2B5EF4-FFF2-40B4-BE49-F238E27FC236}">
              <a16:creationId xmlns:a16="http://schemas.microsoft.com/office/drawing/2014/main" id="{CF858B14-9942-2E48-8D63-964D71F7DA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18</xdr:row>
      <xdr:rowOff>0</xdr:rowOff>
    </xdr:from>
    <xdr:ext cx="9525" cy="9525"/>
    <xdr:pic>
      <xdr:nvPicPr>
        <xdr:cNvPr id="349" name="Picture 348" descr="http://www.abs.gov.au/icons/ecblank.gif">
          <a:extLst>
            <a:ext uri="{FF2B5EF4-FFF2-40B4-BE49-F238E27FC236}">
              <a16:creationId xmlns:a16="http://schemas.microsoft.com/office/drawing/2014/main" id="{7C01A579-4AB1-C84C-876B-B6A53E2AFB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0</xdr:colOff>
      <xdr:row>18</xdr:row>
      <xdr:rowOff>0</xdr:rowOff>
    </xdr:from>
    <xdr:ext cx="9525" cy="9525"/>
    <xdr:pic>
      <xdr:nvPicPr>
        <xdr:cNvPr id="350" name="Picture 349" descr="http://www.abs.gov.au/icons/ecblank.gif">
          <a:extLst>
            <a:ext uri="{FF2B5EF4-FFF2-40B4-BE49-F238E27FC236}">
              <a16:creationId xmlns:a16="http://schemas.microsoft.com/office/drawing/2014/main" id="{63C3C806-6603-484C-8A44-D670811ABA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884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18</xdr:row>
      <xdr:rowOff>0</xdr:rowOff>
    </xdr:from>
    <xdr:ext cx="9525" cy="9525"/>
    <xdr:pic>
      <xdr:nvPicPr>
        <xdr:cNvPr id="351" name="Picture 350" descr="http://www.abs.gov.au/icons/ecblank.gif">
          <a:extLst>
            <a:ext uri="{FF2B5EF4-FFF2-40B4-BE49-F238E27FC236}">
              <a16:creationId xmlns:a16="http://schemas.microsoft.com/office/drawing/2014/main" id="{E6110789-2F48-A141-82B5-39D88C9D12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18</xdr:row>
      <xdr:rowOff>0</xdr:rowOff>
    </xdr:from>
    <xdr:ext cx="9525" cy="9525"/>
    <xdr:pic>
      <xdr:nvPicPr>
        <xdr:cNvPr id="352" name="Picture 351" descr="http://www.abs.gov.au/icons/ecblank.gif">
          <a:extLst>
            <a:ext uri="{FF2B5EF4-FFF2-40B4-BE49-F238E27FC236}">
              <a16:creationId xmlns:a16="http://schemas.microsoft.com/office/drawing/2014/main" id="{5C09C859-A933-C844-9091-C3C61A7B03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18</xdr:row>
      <xdr:rowOff>0</xdr:rowOff>
    </xdr:from>
    <xdr:ext cx="9525" cy="9525"/>
    <xdr:pic>
      <xdr:nvPicPr>
        <xdr:cNvPr id="353" name="Picture 352" descr="http://www.abs.gov.au/icons/ecblank.gif">
          <a:extLst>
            <a:ext uri="{FF2B5EF4-FFF2-40B4-BE49-F238E27FC236}">
              <a16:creationId xmlns:a16="http://schemas.microsoft.com/office/drawing/2014/main" id="{F21D236A-46BA-1B45-9FE6-820CD5F3F2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0</xdr:colOff>
      <xdr:row>18</xdr:row>
      <xdr:rowOff>0</xdr:rowOff>
    </xdr:from>
    <xdr:ext cx="9525" cy="9525"/>
    <xdr:pic>
      <xdr:nvPicPr>
        <xdr:cNvPr id="354" name="Picture 353" descr="http://www.abs.gov.au/icons/ecblank.gif">
          <a:extLst>
            <a:ext uri="{FF2B5EF4-FFF2-40B4-BE49-F238E27FC236}">
              <a16:creationId xmlns:a16="http://schemas.microsoft.com/office/drawing/2014/main" id="{63057644-DE7F-8C4D-925B-0F20682BFE5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884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18</xdr:row>
      <xdr:rowOff>0</xdr:rowOff>
    </xdr:from>
    <xdr:ext cx="9525" cy="9525"/>
    <xdr:pic>
      <xdr:nvPicPr>
        <xdr:cNvPr id="355" name="Picture 354" descr="http://www.abs.gov.au/icons/ecblank.gif">
          <a:extLst>
            <a:ext uri="{FF2B5EF4-FFF2-40B4-BE49-F238E27FC236}">
              <a16:creationId xmlns:a16="http://schemas.microsoft.com/office/drawing/2014/main" id="{76690A70-35D0-CA4F-9241-7A933FB261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18</xdr:row>
      <xdr:rowOff>0</xdr:rowOff>
    </xdr:from>
    <xdr:ext cx="9525" cy="9525"/>
    <xdr:pic>
      <xdr:nvPicPr>
        <xdr:cNvPr id="356" name="Picture 355" descr="http://www.abs.gov.au/icons/ecblank.gif">
          <a:extLst>
            <a:ext uri="{FF2B5EF4-FFF2-40B4-BE49-F238E27FC236}">
              <a16:creationId xmlns:a16="http://schemas.microsoft.com/office/drawing/2014/main" id="{86902A44-32DC-7F41-88EC-17F3A00926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18</xdr:row>
      <xdr:rowOff>0</xdr:rowOff>
    </xdr:from>
    <xdr:ext cx="9525" cy="9525"/>
    <xdr:pic>
      <xdr:nvPicPr>
        <xdr:cNvPr id="357" name="Picture 356" descr="http://www.abs.gov.au/icons/ecblank.gif">
          <a:extLst>
            <a:ext uri="{FF2B5EF4-FFF2-40B4-BE49-F238E27FC236}">
              <a16:creationId xmlns:a16="http://schemas.microsoft.com/office/drawing/2014/main" id="{E39A6B9F-7102-C549-9950-3520229E2C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0</xdr:colOff>
      <xdr:row>18</xdr:row>
      <xdr:rowOff>0</xdr:rowOff>
    </xdr:from>
    <xdr:ext cx="9525" cy="9525"/>
    <xdr:pic>
      <xdr:nvPicPr>
        <xdr:cNvPr id="358" name="Picture 357" descr="http://www.abs.gov.au/icons/ecblank.gif">
          <a:extLst>
            <a:ext uri="{FF2B5EF4-FFF2-40B4-BE49-F238E27FC236}">
              <a16:creationId xmlns:a16="http://schemas.microsoft.com/office/drawing/2014/main" id="{C6EDDCA1-5FA6-2045-B2F1-90E7AE5618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884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18</xdr:row>
      <xdr:rowOff>0</xdr:rowOff>
    </xdr:from>
    <xdr:ext cx="9525" cy="9525"/>
    <xdr:pic>
      <xdr:nvPicPr>
        <xdr:cNvPr id="359" name="Picture 358" descr="http://www.abs.gov.au/icons/ecblank.gif">
          <a:extLst>
            <a:ext uri="{FF2B5EF4-FFF2-40B4-BE49-F238E27FC236}">
              <a16:creationId xmlns:a16="http://schemas.microsoft.com/office/drawing/2014/main" id="{CF8DBC59-FBB1-F34A-B9B9-7A47109E0C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18</xdr:row>
      <xdr:rowOff>0</xdr:rowOff>
    </xdr:from>
    <xdr:ext cx="9525" cy="9525"/>
    <xdr:pic>
      <xdr:nvPicPr>
        <xdr:cNvPr id="360" name="Picture 359" descr="http://www.abs.gov.au/icons/ecblank.gif">
          <a:extLst>
            <a:ext uri="{FF2B5EF4-FFF2-40B4-BE49-F238E27FC236}">
              <a16:creationId xmlns:a16="http://schemas.microsoft.com/office/drawing/2014/main" id="{02396A4A-01B2-5448-9C39-AD60372C50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18</xdr:row>
      <xdr:rowOff>0</xdr:rowOff>
    </xdr:from>
    <xdr:ext cx="9525" cy="9525"/>
    <xdr:pic>
      <xdr:nvPicPr>
        <xdr:cNvPr id="361" name="Picture 360" descr="http://www.abs.gov.au/icons/ecblank.gif">
          <a:extLst>
            <a:ext uri="{FF2B5EF4-FFF2-40B4-BE49-F238E27FC236}">
              <a16:creationId xmlns:a16="http://schemas.microsoft.com/office/drawing/2014/main" id="{3B93022F-CFF6-E343-B784-6155281459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0</xdr:colOff>
      <xdr:row>18</xdr:row>
      <xdr:rowOff>0</xdr:rowOff>
    </xdr:from>
    <xdr:ext cx="9525" cy="9525"/>
    <xdr:pic>
      <xdr:nvPicPr>
        <xdr:cNvPr id="362" name="Picture 361" descr="http://www.abs.gov.au/icons/ecblank.gif">
          <a:extLst>
            <a:ext uri="{FF2B5EF4-FFF2-40B4-BE49-F238E27FC236}">
              <a16:creationId xmlns:a16="http://schemas.microsoft.com/office/drawing/2014/main" id="{89F9B22E-A1FB-5946-A8F6-6FFBADC230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884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18</xdr:row>
      <xdr:rowOff>0</xdr:rowOff>
    </xdr:from>
    <xdr:ext cx="9525" cy="9525"/>
    <xdr:pic>
      <xdr:nvPicPr>
        <xdr:cNvPr id="363" name="Picture 362" descr="http://www.abs.gov.au/icons/ecblank.gif">
          <a:extLst>
            <a:ext uri="{FF2B5EF4-FFF2-40B4-BE49-F238E27FC236}">
              <a16:creationId xmlns:a16="http://schemas.microsoft.com/office/drawing/2014/main" id="{55BECBEF-71C9-054B-9317-2A86023D23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18</xdr:row>
      <xdr:rowOff>0</xdr:rowOff>
    </xdr:from>
    <xdr:ext cx="9525" cy="9525"/>
    <xdr:pic>
      <xdr:nvPicPr>
        <xdr:cNvPr id="364" name="Picture 363" descr="http://www.abs.gov.au/icons/ecblank.gif">
          <a:extLst>
            <a:ext uri="{FF2B5EF4-FFF2-40B4-BE49-F238E27FC236}">
              <a16:creationId xmlns:a16="http://schemas.microsoft.com/office/drawing/2014/main" id="{AB89EF1D-7431-0949-923D-B32E0737C2B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18</xdr:row>
      <xdr:rowOff>0</xdr:rowOff>
    </xdr:from>
    <xdr:ext cx="9525" cy="9525"/>
    <xdr:pic>
      <xdr:nvPicPr>
        <xdr:cNvPr id="365" name="Picture 364" descr="http://www.abs.gov.au/icons/ecblank.gif">
          <a:extLst>
            <a:ext uri="{FF2B5EF4-FFF2-40B4-BE49-F238E27FC236}">
              <a16:creationId xmlns:a16="http://schemas.microsoft.com/office/drawing/2014/main" id="{88CC4A53-CEB9-1647-A994-F578CD9C4E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0</xdr:colOff>
      <xdr:row>18</xdr:row>
      <xdr:rowOff>0</xdr:rowOff>
    </xdr:from>
    <xdr:ext cx="9525" cy="9525"/>
    <xdr:pic>
      <xdr:nvPicPr>
        <xdr:cNvPr id="366" name="Picture 365" descr="http://www.abs.gov.au/icons/ecblank.gif">
          <a:extLst>
            <a:ext uri="{FF2B5EF4-FFF2-40B4-BE49-F238E27FC236}">
              <a16:creationId xmlns:a16="http://schemas.microsoft.com/office/drawing/2014/main" id="{9166CAFB-DA2C-964A-A193-3472000436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884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18</xdr:row>
      <xdr:rowOff>0</xdr:rowOff>
    </xdr:from>
    <xdr:ext cx="9525" cy="9525"/>
    <xdr:pic>
      <xdr:nvPicPr>
        <xdr:cNvPr id="367" name="Picture 366" descr="http://www.abs.gov.au/icons/ecblank.gif">
          <a:extLst>
            <a:ext uri="{FF2B5EF4-FFF2-40B4-BE49-F238E27FC236}">
              <a16:creationId xmlns:a16="http://schemas.microsoft.com/office/drawing/2014/main" id="{44CB26A9-CCE8-FD46-BB9F-E0F1AA4F68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18</xdr:row>
      <xdr:rowOff>0</xdr:rowOff>
    </xdr:from>
    <xdr:ext cx="9525" cy="9525"/>
    <xdr:pic>
      <xdr:nvPicPr>
        <xdr:cNvPr id="368" name="Picture 367" descr="http://www.abs.gov.au/icons/ecblank.gif">
          <a:extLst>
            <a:ext uri="{FF2B5EF4-FFF2-40B4-BE49-F238E27FC236}">
              <a16:creationId xmlns:a16="http://schemas.microsoft.com/office/drawing/2014/main" id="{7BD7DB95-86F9-5C4A-818E-CF9716325A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18</xdr:row>
      <xdr:rowOff>0</xdr:rowOff>
    </xdr:from>
    <xdr:ext cx="9525" cy="9525"/>
    <xdr:pic>
      <xdr:nvPicPr>
        <xdr:cNvPr id="369" name="Picture 368" descr="http://www.abs.gov.au/icons/ecblank.gif">
          <a:extLst>
            <a:ext uri="{FF2B5EF4-FFF2-40B4-BE49-F238E27FC236}">
              <a16:creationId xmlns:a16="http://schemas.microsoft.com/office/drawing/2014/main" id="{644C33DF-02A0-4E43-A099-C4F87DE876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0</xdr:colOff>
      <xdr:row>18</xdr:row>
      <xdr:rowOff>0</xdr:rowOff>
    </xdr:from>
    <xdr:ext cx="9525" cy="9525"/>
    <xdr:pic>
      <xdr:nvPicPr>
        <xdr:cNvPr id="370" name="Picture 369" descr="http://www.abs.gov.au/icons/ecblank.gif">
          <a:extLst>
            <a:ext uri="{FF2B5EF4-FFF2-40B4-BE49-F238E27FC236}">
              <a16:creationId xmlns:a16="http://schemas.microsoft.com/office/drawing/2014/main" id="{A19C3EEE-E5B0-6B42-BEB2-7C3A66EC18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884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18</xdr:row>
      <xdr:rowOff>0</xdr:rowOff>
    </xdr:from>
    <xdr:ext cx="9525" cy="9525"/>
    <xdr:pic>
      <xdr:nvPicPr>
        <xdr:cNvPr id="371" name="Picture 370" descr="http://www.abs.gov.au/icons/ecblank.gif">
          <a:extLst>
            <a:ext uri="{FF2B5EF4-FFF2-40B4-BE49-F238E27FC236}">
              <a16:creationId xmlns:a16="http://schemas.microsoft.com/office/drawing/2014/main" id="{B06BA3B9-5B4E-2B4A-9E3D-29518EE34F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18</xdr:row>
      <xdr:rowOff>0</xdr:rowOff>
    </xdr:from>
    <xdr:ext cx="9525" cy="9525"/>
    <xdr:pic>
      <xdr:nvPicPr>
        <xdr:cNvPr id="372" name="Picture 371" descr="http://www.abs.gov.au/icons/ecblank.gif">
          <a:extLst>
            <a:ext uri="{FF2B5EF4-FFF2-40B4-BE49-F238E27FC236}">
              <a16:creationId xmlns:a16="http://schemas.microsoft.com/office/drawing/2014/main" id="{C40FC0C4-BD13-0842-933D-3424B885A3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18</xdr:row>
      <xdr:rowOff>0</xdr:rowOff>
    </xdr:from>
    <xdr:ext cx="9525" cy="9525"/>
    <xdr:pic>
      <xdr:nvPicPr>
        <xdr:cNvPr id="373" name="Picture 372" descr="http://www.abs.gov.au/icons/ecblank.gif">
          <a:extLst>
            <a:ext uri="{FF2B5EF4-FFF2-40B4-BE49-F238E27FC236}">
              <a16:creationId xmlns:a16="http://schemas.microsoft.com/office/drawing/2014/main" id="{7DED5024-1202-B84E-B57D-6064D5E5F9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0</xdr:colOff>
      <xdr:row>18</xdr:row>
      <xdr:rowOff>0</xdr:rowOff>
    </xdr:from>
    <xdr:ext cx="9525" cy="9525"/>
    <xdr:pic>
      <xdr:nvPicPr>
        <xdr:cNvPr id="374" name="Picture 373" descr="http://www.abs.gov.au/icons/ecblank.gif">
          <a:extLst>
            <a:ext uri="{FF2B5EF4-FFF2-40B4-BE49-F238E27FC236}">
              <a16:creationId xmlns:a16="http://schemas.microsoft.com/office/drawing/2014/main" id="{65E63948-7E25-0C41-806B-60C8161FB03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884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18</xdr:row>
      <xdr:rowOff>0</xdr:rowOff>
    </xdr:from>
    <xdr:ext cx="9525" cy="9525"/>
    <xdr:pic>
      <xdr:nvPicPr>
        <xdr:cNvPr id="375" name="Picture 374" descr="http://www.abs.gov.au/icons/ecblank.gif">
          <a:extLst>
            <a:ext uri="{FF2B5EF4-FFF2-40B4-BE49-F238E27FC236}">
              <a16:creationId xmlns:a16="http://schemas.microsoft.com/office/drawing/2014/main" id="{2ABF9555-CCC3-C949-897F-73B83BF788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18</xdr:row>
      <xdr:rowOff>0</xdr:rowOff>
    </xdr:from>
    <xdr:ext cx="9525" cy="9525"/>
    <xdr:pic>
      <xdr:nvPicPr>
        <xdr:cNvPr id="376" name="Picture 375" descr="http://www.abs.gov.au/icons/ecblank.gif">
          <a:extLst>
            <a:ext uri="{FF2B5EF4-FFF2-40B4-BE49-F238E27FC236}">
              <a16:creationId xmlns:a16="http://schemas.microsoft.com/office/drawing/2014/main" id="{1216C4A9-04B0-214B-AB27-81765CEBEA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18</xdr:row>
      <xdr:rowOff>0</xdr:rowOff>
    </xdr:from>
    <xdr:ext cx="9525" cy="9525"/>
    <xdr:pic>
      <xdr:nvPicPr>
        <xdr:cNvPr id="377" name="Picture 376" descr="http://www.abs.gov.au/icons/ecblank.gif">
          <a:extLst>
            <a:ext uri="{FF2B5EF4-FFF2-40B4-BE49-F238E27FC236}">
              <a16:creationId xmlns:a16="http://schemas.microsoft.com/office/drawing/2014/main" id="{89E061CE-3B0E-A84A-BE6A-93604B7ED6B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0</xdr:colOff>
      <xdr:row>18</xdr:row>
      <xdr:rowOff>0</xdr:rowOff>
    </xdr:from>
    <xdr:ext cx="9525" cy="9525"/>
    <xdr:pic>
      <xdr:nvPicPr>
        <xdr:cNvPr id="378" name="Picture 377" descr="http://www.abs.gov.au/icons/ecblank.gif">
          <a:extLst>
            <a:ext uri="{FF2B5EF4-FFF2-40B4-BE49-F238E27FC236}">
              <a16:creationId xmlns:a16="http://schemas.microsoft.com/office/drawing/2014/main" id="{C6F6851B-3FFE-B340-A371-5B0832D91D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884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18</xdr:row>
      <xdr:rowOff>0</xdr:rowOff>
    </xdr:from>
    <xdr:ext cx="9525" cy="9525"/>
    <xdr:pic>
      <xdr:nvPicPr>
        <xdr:cNvPr id="379" name="Picture 378" descr="http://www.abs.gov.au/icons/ecblank.gif">
          <a:extLst>
            <a:ext uri="{FF2B5EF4-FFF2-40B4-BE49-F238E27FC236}">
              <a16:creationId xmlns:a16="http://schemas.microsoft.com/office/drawing/2014/main" id="{DE449052-1D8F-2C43-A970-EFFE21F408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18</xdr:row>
      <xdr:rowOff>0</xdr:rowOff>
    </xdr:from>
    <xdr:ext cx="9525" cy="9525"/>
    <xdr:pic>
      <xdr:nvPicPr>
        <xdr:cNvPr id="380" name="Picture 379" descr="http://www.abs.gov.au/icons/ecblank.gif">
          <a:extLst>
            <a:ext uri="{FF2B5EF4-FFF2-40B4-BE49-F238E27FC236}">
              <a16:creationId xmlns:a16="http://schemas.microsoft.com/office/drawing/2014/main" id="{DB48A6A9-495A-3C4A-9A28-20C8E3249F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18</xdr:row>
      <xdr:rowOff>0</xdr:rowOff>
    </xdr:from>
    <xdr:ext cx="9525" cy="9525"/>
    <xdr:pic>
      <xdr:nvPicPr>
        <xdr:cNvPr id="381" name="Picture 380" descr="http://www.abs.gov.au/icons/ecblank.gif">
          <a:extLst>
            <a:ext uri="{FF2B5EF4-FFF2-40B4-BE49-F238E27FC236}">
              <a16:creationId xmlns:a16="http://schemas.microsoft.com/office/drawing/2014/main" id="{BAFC784A-9551-5C49-9BC7-8009767ACA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0</xdr:colOff>
      <xdr:row>18</xdr:row>
      <xdr:rowOff>0</xdr:rowOff>
    </xdr:from>
    <xdr:ext cx="9525" cy="9525"/>
    <xdr:pic>
      <xdr:nvPicPr>
        <xdr:cNvPr id="382" name="Picture 381" descr="http://www.abs.gov.au/icons/ecblank.gif">
          <a:extLst>
            <a:ext uri="{FF2B5EF4-FFF2-40B4-BE49-F238E27FC236}">
              <a16:creationId xmlns:a16="http://schemas.microsoft.com/office/drawing/2014/main" id="{927F977D-6593-6C44-9FE3-332BC72DE44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884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18</xdr:row>
      <xdr:rowOff>0</xdr:rowOff>
    </xdr:from>
    <xdr:ext cx="9525" cy="9525"/>
    <xdr:pic>
      <xdr:nvPicPr>
        <xdr:cNvPr id="383" name="Picture 382" descr="http://www.abs.gov.au/icons/ecblank.gif">
          <a:extLst>
            <a:ext uri="{FF2B5EF4-FFF2-40B4-BE49-F238E27FC236}">
              <a16:creationId xmlns:a16="http://schemas.microsoft.com/office/drawing/2014/main" id="{10E3721A-C1F2-A64B-A069-3221AFD5A8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18</xdr:row>
      <xdr:rowOff>0</xdr:rowOff>
    </xdr:from>
    <xdr:ext cx="9525" cy="9525"/>
    <xdr:pic>
      <xdr:nvPicPr>
        <xdr:cNvPr id="384" name="Picture 383" descr="http://www.abs.gov.au/icons/ecblank.gif">
          <a:extLst>
            <a:ext uri="{FF2B5EF4-FFF2-40B4-BE49-F238E27FC236}">
              <a16:creationId xmlns:a16="http://schemas.microsoft.com/office/drawing/2014/main" id="{3DCD29F7-4688-1A4C-9F3E-8281A04957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18</xdr:row>
      <xdr:rowOff>0</xdr:rowOff>
    </xdr:from>
    <xdr:ext cx="9525" cy="9525"/>
    <xdr:pic>
      <xdr:nvPicPr>
        <xdr:cNvPr id="385" name="Picture 384" descr="http://www.abs.gov.au/icons/ecblank.gif">
          <a:extLst>
            <a:ext uri="{FF2B5EF4-FFF2-40B4-BE49-F238E27FC236}">
              <a16:creationId xmlns:a16="http://schemas.microsoft.com/office/drawing/2014/main" id="{C0775A12-0A64-D74A-9E66-F5C10B24966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0</xdr:colOff>
      <xdr:row>18</xdr:row>
      <xdr:rowOff>0</xdr:rowOff>
    </xdr:from>
    <xdr:ext cx="9525" cy="9525"/>
    <xdr:pic>
      <xdr:nvPicPr>
        <xdr:cNvPr id="386" name="Picture 385" descr="http://www.abs.gov.au/icons/ecblank.gif">
          <a:extLst>
            <a:ext uri="{FF2B5EF4-FFF2-40B4-BE49-F238E27FC236}">
              <a16:creationId xmlns:a16="http://schemas.microsoft.com/office/drawing/2014/main" id="{2481B0C6-C4D4-C846-94E0-625F9AFF8A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884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18</xdr:row>
      <xdr:rowOff>0</xdr:rowOff>
    </xdr:from>
    <xdr:ext cx="9525" cy="9525"/>
    <xdr:pic>
      <xdr:nvPicPr>
        <xdr:cNvPr id="387" name="Picture 386" descr="http://www.abs.gov.au/icons/ecblank.gif">
          <a:extLst>
            <a:ext uri="{FF2B5EF4-FFF2-40B4-BE49-F238E27FC236}">
              <a16:creationId xmlns:a16="http://schemas.microsoft.com/office/drawing/2014/main" id="{6445FF6E-40C6-E647-91E6-7320764FA2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18</xdr:row>
      <xdr:rowOff>0</xdr:rowOff>
    </xdr:from>
    <xdr:ext cx="9525" cy="9525"/>
    <xdr:pic>
      <xdr:nvPicPr>
        <xdr:cNvPr id="388" name="Picture 387" descr="http://www.abs.gov.au/icons/ecblank.gif">
          <a:extLst>
            <a:ext uri="{FF2B5EF4-FFF2-40B4-BE49-F238E27FC236}">
              <a16:creationId xmlns:a16="http://schemas.microsoft.com/office/drawing/2014/main" id="{2DE32963-42D0-1F48-B027-1950DE9E38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18</xdr:row>
      <xdr:rowOff>0</xdr:rowOff>
    </xdr:from>
    <xdr:ext cx="9525" cy="9525"/>
    <xdr:pic>
      <xdr:nvPicPr>
        <xdr:cNvPr id="389" name="Picture 388" descr="http://www.abs.gov.au/icons/ecblank.gif">
          <a:extLst>
            <a:ext uri="{FF2B5EF4-FFF2-40B4-BE49-F238E27FC236}">
              <a16:creationId xmlns:a16="http://schemas.microsoft.com/office/drawing/2014/main" id="{9BB86B61-8014-6142-A38B-B8B285D615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0</xdr:colOff>
      <xdr:row>18</xdr:row>
      <xdr:rowOff>0</xdr:rowOff>
    </xdr:from>
    <xdr:ext cx="9525" cy="9525"/>
    <xdr:pic>
      <xdr:nvPicPr>
        <xdr:cNvPr id="390" name="Picture 389" descr="http://www.abs.gov.au/icons/ecblank.gif">
          <a:extLst>
            <a:ext uri="{FF2B5EF4-FFF2-40B4-BE49-F238E27FC236}">
              <a16:creationId xmlns:a16="http://schemas.microsoft.com/office/drawing/2014/main" id="{F8909264-758B-234B-BAE6-1983F4021C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884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18</xdr:row>
      <xdr:rowOff>0</xdr:rowOff>
    </xdr:from>
    <xdr:ext cx="9525" cy="9525"/>
    <xdr:pic>
      <xdr:nvPicPr>
        <xdr:cNvPr id="391" name="Picture 390" descr="http://www.abs.gov.au/icons/ecblank.gif">
          <a:extLst>
            <a:ext uri="{FF2B5EF4-FFF2-40B4-BE49-F238E27FC236}">
              <a16:creationId xmlns:a16="http://schemas.microsoft.com/office/drawing/2014/main" id="{EEE5A15E-D997-804E-8BB4-4613B6834E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18</xdr:row>
      <xdr:rowOff>0</xdr:rowOff>
    </xdr:from>
    <xdr:ext cx="9525" cy="9525"/>
    <xdr:pic>
      <xdr:nvPicPr>
        <xdr:cNvPr id="392" name="Picture 391" descr="http://www.abs.gov.au/icons/ecblank.gif">
          <a:extLst>
            <a:ext uri="{FF2B5EF4-FFF2-40B4-BE49-F238E27FC236}">
              <a16:creationId xmlns:a16="http://schemas.microsoft.com/office/drawing/2014/main" id="{F02BA430-7466-7A4C-AC43-12CF76CDE3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18</xdr:row>
      <xdr:rowOff>0</xdr:rowOff>
    </xdr:from>
    <xdr:ext cx="9525" cy="9525"/>
    <xdr:pic>
      <xdr:nvPicPr>
        <xdr:cNvPr id="393" name="Picture 392" descr="http://www.abs.gov.au/icons/ecblank.gif">
          <a:extLst>
            <a:ext uri="{FF2B5EF4-FFF2-40B4-BE49-F238E27FC236}">
              <a16:creationId xmlns:a16="http://schemas.microsoft.com/office/drawing/2014/main" id="{B32ECC31-2046-0544-81E2-6ED25F5563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0</xdr:colOff>
      <xdr:row>18</xdr:row>
      <xdr:rowOff>0</xdr:rowOff>
    </xdr:from>
    <xdr:ext cx="9525" cy="9525"/>
    <xdr:pic>
      <xdr:nvPicPr>
        <xdr:cNvPr id="394" name="Picture 393" descr="http://www.abs.gov.au/icons/ecblank.gif">
          <a:extLst>
            <a:ext uri="{FF2B5EF4-FFF2-40B4-BE49-F238E27FC236}">
              <a16:creationId xmlns:a16="http://schemas.microsoft.com/office/drawing/2014/main" id="{9E5B6885-9E03-E54B-BEEE-8A89B893BA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884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18</xdr:row>
      <xdr:rowOff>0</xdr:rowOff>
    </xdr:from>
    <xdr:ext cx="9525" cy="9525"/>
    <xdr:pic>
      <xdr:nvPicPr>
        <xdr:cNvPr id="395" name="Picture 394" descr="http://www.abs.gov.au/icons/ecblank.gif">
          <a:extLst>
            <a:ext uri="{FF2B5EF4-FFF2-40B4-BE49-F238E27FC236}">
              <a16:creationId xmlns:a16="http://schemas.microsoft.com/office/drawing/2014/main" id="{1CF8612E-3FF9-D143-80F6-9168302A3E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18</xdr:row>
      <xdr:rowOff>0</xdr:rowOff>
    </xdr:from>
    <xdr:ext cx="9525" cy="9525"/>
    <xdr:pic>
      <xdr:nvPicPr>
        <xdr:cNvPr id="396" name="Picture 395" descr="http://www.abs.gov.au/icons/ecblank.gif">
          <a:extLst>
            <a:ext uri="{FF2B5EF4-FFF2-40B4-BE49-F238E27FC236}">
              <a16:creationId xmlns:a16="http://schemas.microsoft.com/office/drawing/2014/main" id="{E7AE9558-CCEC-D34F-945A-842A2D3C49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18</xdr:row>
      <xdr:rowOff>0</xdr:rowOff>
    </xdr:from>
    <xdr:ext cx="9525" cy="9525"/>
    <xdr:pic>
      <xdr:nvPicPr>
        <xdr:cNvPr id="397" name="Picture 396" descr="http://www.abs.gov.au/icons/ecblank.gif">
          <a:extLst>
            <a:ext uri="{FF2B5EF4-FFF2-40B4-BE49-F238E27FC236}">
              <a16:creationId xmlns:a16="http://schemas.microsoft.com/office/drawing/2014/main" id="{87CF8FA6-872E-D74A-8C60-8349C0A4B4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0</xdr:colOff>
      <xdr:row>18</xdr:row>
      <xdr:rowOff>0</xdr:rowOff>
    </xdr:from>
    <xdr:ext cx="9525" cy="9525"/>
    <xdr:pic>
      <xdr:nvPicPr>
        <xdr:cNvPr id="398" name="Picture 397" descr="http://www.abs.gov.au/icons/ecblank.gif">
          <a:extLst>
            <a:ext uri="{FF2B5EF4-FFF2-40B4-BE49-F238E27FC236}">
              <a16:creationId xmlns:a16="http://schemas.microsoft.com/office/drawing/2014/main" id="{5EF8635E-B832-124E-9745-C5AAF2ED46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884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18</xdr:row>
      <xdr:rowOff>0</xdr:rowOff>
    </xdr:from>
    <xdr:ext cx="9525" cy="9525"/>
    <xdr:pic>
      <xdr:nvPicPr>
        <xdr:cNvPr id="399" name="Picture 398" descr="http://www.abs.gov.au/icons/ecblank.gif">
          <a:extLst>
            <a:ext uri="{FF2B5EF4-FFF2-40B4-BE49-F238E27FC236}">
              <a16:creationId xmlns:a16="http://schemas.microsoft.com/office/drawing/2014/main" id="{5055FD88-1945-FE47-BE92-AA2C45E9F8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18</xdr:row>
      <xdr:rowOff>0</xdr:rowOff>
    </xdr:from>
    <xdr:ext cx="9525" cy="9525"/>
    <xdr:pic>
      <xdr:nvPicPr>
        <xdr:cNvPr id="400" name="Picture 399" descr="http://www.abs.gov.au/icons/ecblank.gif">
          <a:extLst>
            <a:ext uri="{FF2B5EF4-FFF2-40B4-BE49-F238E27FC236}">
              <a16:creationId xmlns:a16="http://schemas.microsoft.com/office/drawing/2014/main" id="{38C33353-AEA8-E842-B231-07593675EE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18</xdr:row>
      <xdr:rowOff>0</xdr:rowOff>
    </xdr:from>
    <xdr:ext cx="9525" cy="9525"/>
    <xdr:pic>
      <xdr:nvPicPr>
        <xdr:cNvPr id="401" name="Picture 400" descr="http://www.abs.gov.au/icons/ecblank.gif">
          <a:extLst>
            <a:ext uri="{FF2B5EF4-FFF2-40B4-BE49-F238E27FC236}">
              <a16:creationId xmlns:a16="http://schemas.microsoft.com/office/drawing/2014/main" id="{BC394D69-B0A4-194E-9827-30F60CFD3C8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0</xdr:colOff>
      <xdr:row>18</xdr:row>
      <xdr:rowOff>0</xdr:rowOff>
    </xdr:from>
    <xdr:ext cx="9525" cy="9525"/>
    <xdr:pic>
      <xdr:nvPicPr>
        <xdr:cNvPr id="402" name="Picture 401" descr="http://www.abs.gov.au/icons/ecblank.gif">
          <a:extLst>
            <a:ext uri="{FF2B5EF4-FFF2-40B4-BE49-F238E27FC236}">
              <a16:creationId xmlns:a16="http://schemas.microsoft.com/office/drawing/2014/main" id="{44234EF7-F955-3F41-B44F-254E500B34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884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18</xdr:row>
      <xdr:rowOff>0</xdr:rowOff>
    </xdr:from>
    <xdr:ext cx="9525" cy="9525"/>
    <xdr:pic>
      <xdr:nvPicPr>
        <xdr:cNvPr id="403" name="Picture 402" descr="http://www.abs.gov.au/icons/ecblank.gif">
          <a:extLst>
            <a:ext uri="{FF2B5EF4-FFF2-40B4-BE49-F238E27FC236}">
              <a16:creationId xmlns:a16="http://schemas.microsoft.com/office/drawing/2014/main" id="{6092ADB0-8702-5F4D-A41D-6D73236F1B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18</xdr:row>
      <xdr:rowOff>0</xdr:rowOff>
    </xdr:from>
    <xdr:ext cx="9525" cy="9525"/>
    <xdr:pic>
      <xdr:nvPicPr>
        <xdr:cNvPr id="404" name="Picture 403" descr="http://www.abs.gov.au/icons/ecblank.gif">
          <a:extLst>
            <a:ext uri="{FF2B5EF4-FFF2-40B4-BE49-F238E27FC236}">
              <a16:creationId xmlns:a16="http://schemas.microsoft.com/office/drawing/2014/main" id="{455838EE-E049-D141-BB05-FD4ADF87702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18</xdr:row>
      <xdr:rowOff>0</xdr:rowOff>
    </xdr:from>
    <xdr:ext cx="9525" cy="9525"/>
    <xdr:pic>
      <xdr:nvPicPr>
        <xdr:cNvPr id="405" name="Picture 404" descr="http://www.abs.gov.au/icons/ecblank.gif">
          <a:extLst>
            <a:ext uri="{FF2B5EF4-FFF2-40B4-BE49-F238E27FC236}">
              <a16:creationId xmlns:a16="http://schemas.microsoft.com/office/drawing/2014/main" id="{60B9F207-6096-3547-A43C-B85DCE8A24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0</xdr:colOff>
      <xdr:row>18</xdr:row>
      <xdr:rowOff>0</xdr:rowOff>
    </xdr:from>
    <xdr:ext cx="9525" cy="9525"/>
    <xdr:pic>
      <xdr:nvPicPr>
        <xdr:cNvPr id="406" name="Picture 405" descr="http://www.abs.gov.au/icons/ecblank.gif">
          <a:extLst>
            <a:ext uri="{FF2B5EF4-FFF2-40B4-BE49-F238E27FC236}">
              <a16:creationId xmlns:a16="http://schemas.microsoft.com/office/drawing/2014/main" id="{7B13175E-E401-4845-8C19-2E3CA15885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884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18</xdr:row>
      <xdr:rowOff>0</xdr:rowOff>
    </xdr:from>
    <xdr:ext cx="9525" cy="9525"/>
    <xdr:pic>
      <xdr:nvPicPr>
        <xdr:cNvPr id="407" name="Picture 406" descr="http://www.abs.gov.au/icons/ecblank.gif">
          <a:extLst>
            <a:ext uri="{FF2B5EF4-FFF2-40B4-BE49-F238E27FC236}">
              <a16:creationId xmlns:a16="http://schemas.microsoft.com/office/drawing/2014/main" id="{38327225-55AF-7541-A753-C1E294E476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18</xdr:row>
      <xdr:rowOff>0</xdr:rowOff>
    </xdr:from>
    <xdr:ext cx="9525" cy="9525"/>
    <xdr:pic>
      <xdr:nvPicPr>
        <xdr:cNvPr id="408" name="Picture 407" descr="http://www.abs.gov.au/icons/ecblank.gif">
          <a:extLst>
            <a:ext uri="{FF2B5EF4-FFF2-40B4-BE49-F238E27FC236}">
              <a16:creationId xmlns:a16="http://schemas.microsoft.com/office/drawing/2014/main" id="{6CD07A3E-EBFF-434D-857E-33E654DFCF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18</xdr:row>
      <xdr:rowOff>0</xdr:rowOff>
    </xdr:from>
    <xdr:ext cx="9525" cy="9525"/>
    <xdr:pic>
      <xdr:nvPicPr>
        <xdr:cNvPr id="409" name="Picture 408" descr="http://www.abs.gov.au/icons/ecblank.gif">
          <a:extLst>
            <a:ext uri="{FF2B5EF4-FFF2-40B4-BE49-F238E27FC236}">
              <a16:creationId xmlns:a16="http://schemas.microsoft.com/office/drawing/2014/main" id="{10B676AA-8C93-2C47-9123-AF0BBB4130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0</xdr:colOff>
      <xdr:row>18</xdr:row>
      <xdr:rowOff>0</xdr:rowOff>
    </xdr:from>
    <xdr:ext cx="9525" cy="9525"/>
    <xdr:pic>
      <xdr:nvPicPr>
        <xdr:cNvPr id="410" name="Picture 409" descr="http://www.abs.gov.au/icons/ecblank.gif">
          <a:extLst>
            <a:ext uri="{FF2B5EF4-FFF2-40B4-BE49-F238E27FC236}">
              <a16:creationId xmlns:a16="http://schemas.microsoft.com/office/drawing/2014/main" id="{A3FE9CF6-0C15-304E-A643-508B6D5A021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884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18</xdr:row>
      <xdr:rowOff>0</xdr:rowOff>
    </xdr:from>
    <xdr:ext cx="9525" cy="9525"/>
    <xdr:pic>
      <xdr:nvPicPr>
        <xdr:cNvPr id="411" name="Picture 410" descr="http://www.abs.gov.au/icons/ecblank.gif">
          <a:extLst>
            <a:ext uri="{FF2B5EF4-FFF2-40B4-BE49-F238E27FC236}">
              <a16:creationId xmlns:a16="http://schemas.microsoft.com/office/drawing/2014/main" id="{E93E7585-9D8C-7640-9EDC-499DF856BC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18</xdr:row>
      <xdr:rowOff>0</xdr:rowOff>
    </xdr:from>
    <xdr:ext cx="9525" cy="9525"/>
    <xdr:pic>
      <xdr:nvPicPr>
        <xdr:cNvPr id="412" name="Picture 411" descr="http://www.abs.gov.au/icons/ecblank.gif">
          <a:extLst>
            <a:ext uri="{FF2B5EF4-FFF2-40B4-BE49-F238E27FC236}">
              <a16:creationId xmlns:a16="http://schemas.microsoft.com/office/drawing/2014/main" id="{3F532872-7734-3441-8CA6-9619257B4A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18</xdr:row>
      <xdr:rowOff>0</xdr:rowOff>
    </xdr:from>
    <xdr:ext cx="9525" cy="9525"/>
    <xdr:pic>
      <xdr:nvPicPr>
        <xdr:cNvPr id="413" name="Picture 412" descr="http://www.abs.gov.au/icons/ecblank.gif">
          <a:extLst>
            <a:ext uri="{FF2B5EF4-FFF2-40B4-BE49-F238E27FC236}">
              <a16:creationId xmlns:a16="http://schemas.microsoft.com/office/drawing/2014/main" id="{F5A173DD-A7A7-1B4B-B547-2C14D39D35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0</xdr:colOff>
      <xdr:row>18</xdr:row>
      <xdr:rowOff>0</xdr:rowOff>
    </xdr:from>
    <xdr:ext cx="9525" cy="9525"/>
    <xdr:pic>
      <xdr:nvPicPr>
        <xdr:cNvPr id="414" name="Picture 413" descr="http://www.abs.gov.au/icons/ecblank.gif">
          <a:extLst>
            <a:ext uri="{FF2B5EF4-FFF2-40B4-BE49-F238E27FC236}">
              <a16:creationId xmlns:a16="http://schemas.microsoft.com/office/drawing/2014/main" id="{511E4376-DC95-4F42-BE9B-B256FF7616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884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18</xdr:row>
      <xdr:rowOff>0</xdr:rowOff>
    </xdr:from>
    <xdr:ext cx="9525" cy="9525"/>
    <xdr:pic>
      <xdr:nvPicPr>
        <xdr:cNvPr id="415" name="Picture 414" descr="http://www.abs.gov.au/icons/ecblank.gif">
          <a:extLst>
            <a:ext uri="{FF2B5EF4-FFF2-40B4-BE49-F238E27FC236}">
              <a16:creationId xmlns:a16="http://schemas.microsoft.com/office/drawing/2014/main" id="{6B0F19EC-E90C-BF48-98CA-A487BFCD59E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18</xdr:row>
      <xdr:rowOff>0</xdr:rowOff>
    </xdr:from>
    <xdr:ext cx="9525" cy="9525"/>
    <xdr:pic>
      <xdr:nvPicPr>
        <xdr:cNvPr id="416" name="Picture 415" descr="http://www.abs.gov.au/icons/ecblank.gif">
          <a:extLst>
            <a:ext uri="{FF2B5EF4-FFF2-40B4-BE49-F238E27FC236}">
              <a16:creationId xmlns:a16="http://schemas.microsoft.com/office/drawing/2014/main" id="{A67C4FE8-9853-A14F-89D1-C6DCF8C8C2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18</xdr:row>
      <xdr:rowOff>0</xdr:rowOff>
    </xdr:from>
    <xdr:ext cx="9525" cy="9525"/>
    <xdr:pic>
      <xdr:nvPicPr>
        <xdr:cNvPr id="417" name="Picture 416" descr="http://www.abs.gov.au/icons/ecblank.gif">
          <a:extLst>
            <a:ext uri="{FF2B5EF4-FFF2-40B4-BE49-F238E27FC236}">
              <a16:creationId xmlns:a16="http://schemas.microsoft.com/office/drawing/2014/main" id="{9EC0C19B-5024-C849-96A3-1277DC8394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0</xdr:colOff>
      <xdr:row>18</xdr:row>
      <xdr:rowOff>0</xdr:rowOff>
    </xdr:from>
    <xdr:ext cx="9525" cy="9525"/>
    <xdr:pic>
      <xdr:nvPicPr>
        <xdr:cNvPr id="418" name="Picture 417" descr="http://www.abs.gov.au/icons/ecblank.gif">
          <a:extLst>
            <a:ext uri="{FF2B5EF4-FFF2-40B4-BE49-F238E27FC236}">
              <a16:creationId xmlns:a16="http://schemas.microsoft.com/office/drawing/2014/main" id="{D0066A8B-7CC9-454D-9704-51577850AF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884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18</xdr:row>
      <xdr:rowOff>0</xdr:rowOff>
    </xdr:from>
    <xdr:ext cx="9525" cy="9525"/>
    <xdr:pic>
      <xdr:nvPicPr>
        <xdr:cNvPr id="419" name="Picture 418" descr="http://www.abs.gov.au/icons/ecblank.gif">
          <a:extLst>
            <a:ext uri="{FF2B5EF4-FFF2-40B4-BE49-F238E27FC236}">
              <a16:creationId xmlns:a16="http://schemas.microsoft.com/office/drawing/2014/main" id="{948B9EBA-7EB2-6040-9B56-9E29BC3AFF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18</xdr:row>
      <xdr:rowOff>0</xdr:rowOff>
    </xdr:from>
    <xdr:ext cx="9525" cy="9525"/>
    <xdr:pic>
      <xdr:nvPicPr>
        <xdr:cNvPr id="420" name="Picture 419" descr="http://www.abs.gov.au/icons/ecblank.gif">
          <a:extLst>
            <a:ext uri="{FF2B5EF4-FFF2-40B4-BE49-F238E27FC236}">
              <a16:creationId xmlns:a16="http://schemas.microsoft.com/office/drawing/2014/main" id="{9A842253-26A5-4746-B98C-154158B2F5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18</xdr:row>
      <xdr:rowOff>0</xdr:rowOff>
    </xdr:from>
    <xdr:ext cx="9525" cy="9525"/>
    <xdr:pic>
      <xdr:nvPicPr>
        <xdr:cNvPr id="421" name="Picture 420" descr="http://www.abs.gov.au/icons/ecblank.gif">
          <a:extLst>
            <a:ext uri="{FF2B5EF4-FFF2-40B4-BE49-F238E27FC236}">
              <a16:creationId xmlns:a16="http://schemas.microsoft.com/office/drawing/2014/main" id="{855043F5-7BFA-E846-B21C-EE897FF38A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0</xdr:colOff>
      <xdr:row>18</xdr:row>
      <xdr:rowOff>0</xdr:rowOff>
    </xdr:from>
    <xdr:ext cx="9525" cy="9525"/>
    <xdr:pic>
      <xdr:nvPicPr>
        <xdr:cNvPr id="422" name="Picture 421" descr="http://www.abs.gov.au/icons/ecblank.gif">
          <a:extLst>
            <a:ext uri="{FF2B5EF4-FFF2-40B4-BE49-F238E27FC236}">
              <a16:creationId xmlns:a16="http://schemas.microsoft.com/office/drawing/2014/main" id="{5A34865B-9656-CC40-9B37-00D7857F81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884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18</xdr:row>
      <xdr:rowOff>0</xdr:rowOff>
    </xdr:from>
    <xdr:ext cx="9525" cy="9525"/>
    <xdr:pic>
      <xdr:nvPicPr>
        <xdr:cNvPr id="423" name="Picture 422" descr="http://www.abs.gov.au/icons/ecblank.gif">
          <a:extLst>
            <a:ext uri="{FF2B5EF4-FFF2-40B4-BE49-F238E27FC236}">
              <a16:creationId xmlns:a16="http://schemas.microsoft.com/office/drawing/2014/main" id="{C70EAE90-28A9-784A-9DB7-5C985F9582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18</xdr:row>
      <xdr:rowOff>0</xdr:rowOff>
    </xdr:from>
    <xdr:ext cx="9525" cy="9525"/>
    <xdr:pic>
      <xdr:nvPicPr>
        <xdr:cNvPr id="424" name="Picture 423" descr="http://www.abs.gov.au/icons/ecblank.gif">
          <a:extLst>
            <a:ext uri="{FF2B5EF4-FFF2-40B4-BE49-F238E27FC236}">
              <a16:creationId xmlns:a16="http://schemas.microsoft.com/office/drawing/2014/main" id="{6937F568-636A-664D-BB32-BBCA7385F0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18</xdr:row>
      <xdr:rowOff>0</xdr:rowOff>
    </xdr:from>
    <xdr:ext cx="9525" cy="9525"/>
    <xdr:pic>
      <xdr:nvPicPr>
        <xdr:cNvPr id="425" name="Picture 424" descr="http://www.abs.gov.au/icons/ecblank.gif">
          <a:extLst>
            <a:ext uri="{FF2B5EF4-FFF2-40B4-BE49-F238E27FC236}">
              <a16:creationId xmlns:a16="http://schemas.microsoft.com/office/drawing/2014/main" id="{CC055DF4-DCE8-B947-82A3-340D5B8E13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0</xdr:colOff>
      <xdr:row>18</xdr:row>
      <xdr:rowOff>0</xdr:rowOff>
    </xdr:from>
    <xdr:ext cx="9525" cy="9525"/>
    <xdr:pic>
      <xdr:nvPicPr>
        <xdr:cNvPr id="426" name="Picture 425" descr="http://www.abs.gov.au/icons/ecblank.gif">
          <a:extLst>
            <a:ext uri="{FF2B5EF4-FFF2-40B4-BE49-F238E27FC236}">
              <a16:creationId xmlns:a16="http://schemas.microsoft.com/office/drawing/2014/main" id="{4853E455-8696-3C4D-9E56-89B47DFAAA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884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18</xdr:row>
      <xdr:rowOff>0</xdr:rowOff>
    </xdr:from>
    <xdr:ext cx="9525" cy="9525"/>
    <xdr:pic>
      <xdr:nvPicPr>
        <xdr:cNvPr id="427" name="Picture 426" descr="http://www.abs.gov.au/icons/ecblank.gif">
          <a:extLst>
            <a:ext uri="{FF2B5EF4-FFF2-40B4-BE49-F238E27FC236}">
              <a16:creationId xmlns:a16="http://schemas.microsoft.com/office/drawing/2014/main" id="{1FDAF029-7195-EE4D-8080-A63526103F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18</xdr:row>
      <xdr:rowOff>0</xdr:rowOff>
    </xdr:from>
    <xdr:ext cx="9525" cy="9525"/>
    <xdr:pic>
      <xdr:nvPicPr>
        <xdr:cNvPr id="428" name="Picture 427" descr="http://www.abs.gov.au/icons/ecblank.gif">
          <a:extLst>
            <a:ext uri="{FF2B5EF4-FFF2-40B4-BE49-F238E27FC236}">
              <a16:creationId xmlns:a16="http://schemas.microsoft.com/office/drawing/2014/main" id="{3BF6CA27-1154-E64F-8331-5F06E30D90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18</xdr:row>
      <xdr:rowOff>0</xdr:rowOff>
    </xdr:from>
    <xdr:ext cx="9525" cy="9525"/>
    <xdr:pic>
      <xdr:nvPicPr>
        <xdr:cNvPr id="429" name="Picture 428" descr="http://www.abs.gov.au/icons/ecblank.gif">
          <a:extLst>
            <a:ext uri="{FF2B5EF4-FFF2-40B4-BE49-F238E27FC236}">
              <a16:creationId xmlns:a16="http://schemas.microsoft.com/office/drawing/2014/main" id="{5708847D-3959-C542-85C6-8769EDC7FD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0</xdr:colOff>
      <xdr:row>18</xdr:row>
      <xdr:rowOff>0</xdr:rowOff>
    </xdr:from>
    <xdr:ext cx="9525" cy="9525"/>
    <xdr:pic>
      <xdr:nvPicPr>
        <xdr:cNvPr id="430" name="Picture 429" descr="http://www.abs.gov.au/icons/ecblank.gif">
          <a:extLst>
            <a:ext uri="{FF2B5EF4-FFF2-40B4-BE49-F238E27FC236}">
              <a16:creationId xmlns:a16="http://schemas.microsoft.com/office/drawing/2014/main" id="{A2EE0FFB-A104-CF4F-96D4-13EE1FC7D1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884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18</xdr:row>
      <xdr:rowOff>0</xdr:rowOff>
    </xdr:from>
    <xdr:ext cx="9525" cy="9525"/>
    <xdr:pic>
      <xdr:nvPicPr>
        <xdr:cNvPr id="431" name="Picture 430" descr="http://www.abs.gov.au/icons/ecblank.gif">
          <a:extLst>
            <a:ext uri="{FF2B5EF4-FFF2-40B4-BE49-F238E27FC236}">
              <a16:creationId xmlns:a16="http://schemas.microsoft.com/office/drawing/2014/main" id="{EA7A0130-7F09-0C41-9DDA-836110F83A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18</xdr:row>
      <xdr:rowOff>0</xdr:rowOff>
    </xdr:from>
    <xdr:ext cx="9525" cy="9525"/>
    <xdr:pic>
      <xdr:nvPicPr>
        <xdr:cNvPr id="432" name="Picture 431" descr="http://www.abs.gov.au/icons/ecblank.gif">
          <a:extLst>
            <a:ext uri="{FF2B5EF4-FFF2-40B4-BE49-F238E27FC236}">
              <a16:creationId xmlns:a16="http://schemas.microsoft.com/office/drawing/2014/main" id="{9B3360A4-3D78-764A-BE8D-A7ABCA48B3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18</xdr:row>
      <xdr:rowOff>0</xdr:rowOff>
    </xdr:from>
    <xdr:ext cx="9525" cy="9525"/>
    <xdr:pic>
      <xdr:nvPicPr>
        <xdr:cNvPr id="433" name="Picture 432" descr="http://www.abs.gov.au/icons/ecblank.gif">
          <a:extLst>
            <a:ext uri="{FF2B5EF4-FFF2-40B4-BE49-F238E27FC236}">
              <a16:creationId xmlns:a16="http://schemas.microsoft.com/office/drawing/2014/main" id="{5ED981D3-DF7B-7E46-83FC-5217F1588F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0</xdr:colOff>
      <xdr:row>18</xdr:row>
      <xdr:rowOff>0</xdr:rowOff>
    </xdr:from>
    <xdr:ext cx="9525" cy="9525"/>
    <xdr:pic>
      <xdr:nvPicPr>
        <xdr:cNvPr id="434" name="Picture 433" descr="http://www.abs.gov.au/icons/ecblank.gif">
          <a:extLst>
            <a:ext uri="{FF2B5EF4-FFF2-40B4-BE49-F238E27FC236}">
              <a16:creationId xmlns:a16="http://schemas.microsoft.com/office/drawing/2014/main" id="{9ABA4487-050D-324D-9B85-B8A88F81A6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884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18</xdr:row>
      <xdr:rowOff>0</xdr:rowOff>
    </xdr:from>
    <xdr:ext cx="9525" cy="9525"/>
    <xdr:pic>
      <xdr:nvPicPr>
        <xdr:cNvPr id="435" name="Picture 434" descr="http://www.abs.gov.au/icons/ecblank.gif">
          <a:extLst>
            <a:ext uri="{FF2B5EF4-FFF2-40B4-BE49-F238E27FC236}">
              <a16:creationId xmlns:a16="http://schemas.microsoft.com/office/drawing/2014/main" id="{4E512980-C6F5-E245-B020-57934AF707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18</xdr:row>
      <xdr:rowOff>0</xdr:rowOff>
    </xdr:from>
    <xdr:ext cx="9525" cy="9525"/>
    <xdr:pic>
      <xdr:nvPicPr>
        <xdr:cNvPr id="436" name="Picture 435" descr="http://www.abs.gov.au/icons/ecblank.gif">
          <a:extLst>
            <a:ext uri="{FF2B5EF4-FFF2-40B4-BE49-F238E27FC236}">
              <a16:creationId xmlns:a16="http://schemas.microsoft.com/office/drawing/2014/main" id="{54239409-E60A-9E4E-BE7C-40179936F9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18</xdr:row>
      <xdr:rowOff>0</xdr:rowOff>
    </xdr:from>
    <xdr:ext cx="9525" cy="9525"/>
    <xdr:pic>
      <xdr:nvPicPr>
        <xdr:cNvPr id="437" name="Picture 436" descr="http://www.abs.gov.au/icons/ecblank.gif">
          <a:extLst>
            <a:ext uri="{FF2B5EF4-FFF2-40B4-BE49-F238E27FC236}">
              <a16:creationId xmlns:a16="http://schemas.microsoft.com/office/drawing/2014/main" id="{4140C3DA-C1D7-DD4E-AD74-D13189775A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0</xdr:colOff>
      <xdr:row>18</xdr:row>
      <xdr:rowOff>0</xdr:rowOff>
    </xdr:from>
    <xdr:ext cx="9525" cy="9525"/>
    <xdr:pic>
      <xdr:nvPicPr>
        <xdr:cNvPr id="438" name="Picture 437" descr="http://www.abs.gov.au/icons/ecblank.gif">
          <a:extLst>
            <a:ext uri="{FF2B5EF4-FFF2-40B4-BE49-F238E27FC236}">
              <a16:creationId xmlns:a16="http://schemas.microsoft.com/office/drawing/2014/main" id="{D85EB772-550A-C748-A39D-EE6950D155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884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18</xdr:row>
      <xdr:rowOff>0</xdr:rowOff>
    </xdr:from>
    <xdr:ext cx="9525" cy="9525"/>
    <xdr:pic>
      <xdr:nvPicPr>
        <xdr:cNvPr id="439" name="Picture 438" descr="http://www.abs.gov.au/icons/ecblank.gif">
          <a:extLst>
            <a:ext uri="{FF2B5EF4-FFF2-40B4-BE49-F238E27FC236}">
              <a16:creationId xmlns:a16="http://schemas.microsoft.com/office/drawing/2014/main" id="{66F90F9B-4168-494A-9075-176AA5B97C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18</xdr:row>
      <xdr:rowOff>0</xdr:rowOff>
    </xdr:from>
    <xdr:ext cx="9525" cy="9525"/>
    <xdr:pic>
      <xdr:nvPicPr>
        <xdr:cNvPr id="440" name="Picture 439" descr="http://www.abs.gov.au/icons/ecblank.gif">
          <a:extLst>
            <a:ext uri="{FF2B5EF4-FFF2-40B4-BE49-F238E27FC236}">
              <a16:creationId xmlns:a16="http://schemas.microsoft.com/office/drawing/2014/main" id="{2614894A-E59B-8F45-B571-895B0134BE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18</xdr:row>
      <xdr:rowOff>0</xdr:rowOff>
    </xdr:from>
    <xdr:ext cx="9525" cy="9525"/>
    <xdr:pic>
      <xdr:nvPicPr>
        <xdr:cNvPr id="441" name="Picture 440" descr="http://www.abs.gov.au/icons/ecblank.gif">
          <a:extLst>
            <a:ext uri="{FF2B5EF4-FFF2-40B4-BE49-F238E27FC236}">
              <a16:creationId xmlns:a16="http://schemas.microsoft.com/office/drawing/2014/main" id="{62EB6204-AA43-6A45-98B4-D4BCE623A7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0</xdr:colOff>
      <xdr:row>18</xdr:row>
      <xdr:rowOff>0</xdr:rowOff>
    </xdr:from>
    <xdr:ext cx="9525" cy="9525"/>
    <xdr:pic>
      <xdr:nvPicPr>
        <xdr:cNvPr id="442" name="Picture 441" descr="http://www.abs.gov.au/icons/ecblank.gif">
          <a:extLst>
            <a:ext uri="{FF2B5EF4-FFF2-40B4-BE49-F238E27FC236}">
              <a16:creationId xmlns:a16="http://schemas.microsoft.com/office/drawing/2014/main" id="{D38E777F-F8EF-2444-840B-05196F904E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884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18</xdr:row>
      <xdr:rowOff>0</xdr:rowOff>
    </xdr:from>
    <xdr:ext cx="9525" cy="9525"/>
    <xdr:pic>
      <xdr:nvPicPr>
        <xdr:cNvPr id="443" name="Picture 442" descr="http://www.abs.gov.au/icons/ecblank.gif">
          <a:extLst>
            <a:ext uri="{FF2B5EF4-FFF2-40B4-BE49-F238E27FC236}">
              <a16:creationId xmlns:a16="http://schemas.microsoft.com/office/drawing/2014/main" id="{9BABD98A-CA58-C846-A01E-72F352CD4D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18</xdr:row>
      <xdr:rowOff>0</xdr:rowOff>
    </xdr:from>
    <xdr:ext cx="9525" cy="9525"/>
    <xdr:pic>
      <xdr:nvPicPr>
        <xdr:cNvPr id="444" name="Picture 443" descr="http://www.abs.gov.au/icons/ecblank.gif">
          <a:extLst>
            <a:ext uri="{FF2B5EF4-FFF2-40B4-BE49-F238E27FC236}">
              <a16:creationId xmlns:a16="http://schemas.microsoft.com/office/drawing/2014/main" id="{EBEC695A-A4CB-6540-80B2-40F53CFEAB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18</xdr:row>
      <xdr:rowOff>0</xdr:rowOff>
    </xdr:from>
    <xdr:ext cx="9525" cy="9525"/>
    <xdr:pic>
      <xdr:nvPicPr>
        <xdr:cNvPr id="445" name="Picture 444" descr="http://www.abs.gov.au/icons/ecblank.gif">
          <a:extLst>
            <a:ext uri="{FF2B5EF4-FFF2-40B4-BE49-F238E27FC236}">
              <a16:creationId xmlns:a16="http://schemas.microsoft.com/office/drawing/2014/main" id="{CF4D7C7E-37D4-4547-9B5A-7FB7BA978B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0</xdr:colOff>
      <xdr:row>18</xdr:row>
      <xdr:rowOff>0</xdr:rowOff>
    </xdr:from>
    <xdr:ext cx="9525" cy="9525"/>
    <xdr:pic>
      <xdr:nvPicPr>
        <xdr:cNvPr id="446" name="Picture 445" descr="http://www.abs.gov.au/icons/ecblank.gif">
          <a:extLst>
            <a:ext uri="{FF2B5EF4-FFF2-40B4-BE49-F238E27FC236}">
              <a16:creationId xmlns:a16="http://schemas.microsoft.com/office/drawing/2014/main" id="{E47BA8BC-47E7-EA4F-8CE4-FC31EF8282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884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18</xdr:row>
      <xdr:rowOff>0</xdr:rowOff>
    </xdr:from>
    <xdr:ext cx="9525" cy="9525"/>
    <xdr:pic>
      <xdr:nvPicPr>
        <xdr:cNvPr id="447" name="Picture 446" descr="http://www.abs.gov.au/icons/ecblank.gif">
          <a:extLst>
            <a:ext uri="{FF2B5EF4-FFF2-40B4-BE49-F238E27FC236}">
              <a16:creationId xmlns:a16="http://schemas.microsoft.com/office/drawing/2014/main" id="{612B3A27-8B8C-7440-A366-EACF952E12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18</xdr:row>
      <xdr:rowOff>0</xdr:rowOff>
    </xdr:from>
    <xdr:ext cx="9525" cy="9525"/>
    <xdr:pic>
      <xdr:nvPicPr>
        <xdr:cNvPr id="448" name="Picture 447" descr="http://www.abs.gov.au/icons/ecblank.gif">
          <a:extLst>
            <a:ext uri="{FF2B5EF4-FFF2-40B4-BE49-F238E27FC236}">
              <a16:creationId xmlns:a16="http://schemas.microsoft.com/office/drawing/2014/main" id="{F845482F-782A-7242-842E-E0FA3AA5A8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18</xdr:row>
      <xdr:rowOff>0</xdr:rowOff>
    </xdr:from>
    <xdr:ext cx="9525" cy="9525"/>
    <xdr:pic>
      <xdr:nvPicPr>
        <xdr:cNvPr id="449" name="Picture 448" descr="http://www.abs.gov.au/icons/ecblank.gif">
          <a:extLst>
            <a:ext uri="{FF2B5EF4-FFF2-40B4-BE49-F238E27FC236}">
              <a16:creationId xmlns:a16="http://schemas.microsoft.com/office/drawing/2014/main" id="{A906F016-8082-324A-AD74-8157440626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0</xdr:colOff>
      <xdr:row>18</xdr:row>
      <xdr:rowOff>0</xdr:rowOff>
    </xdr:from>
    <xdr:ext cx="9525" cy="9525"/>
    <xdr:pic>
      <xdr:nvPicPr>
        <xdr:cNvPr id="450" name="Picture 449" descr="http://www.abs.gov.au/icons/ecblank.gif">
          <a:extLst>
            <a:ext uri="{FF2B5EF4-FFF2-40B4-BE49-F238E27FC236}">
              <a16:creationId xmlns:a16="http://schemas.microsoft.com/office/drawing/2014/main" id="{DBD16468-545D-6546-9067-1911A4FC96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884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18</xdr:row>
      <xdr:rowOff>0</xdr:rowOff>
    </xdr:from>
    <xdr:ext cx="9525" cy="9525"/>
    <xdr:pic>
      <xdr:nvPicPr>
        <xdr:cNvPr id="451" name="Picture 450" descr="http://www.abs.gov.au/icons/ecblank.gif">
          <a:extLst>
            <a:ext uri="{FF2B5EF4-FFF2-40B4-BE49-F238E27FC236}">
              <a16:creationId xmlns:a16="http://schemas.microsoft.com/office/drawing/2014/main" id="{B7CBAA2F-8A6D-9841-8715-52C4BB1966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18</xdr:row>
      <xdr:rowOff>0</xdr:rowOff>
    </xdr:from>
    <xdr:ext cx="9525" cy="9525"/>
    <xdr:pic>
      <xdr:nvPicPr>
        <xdr:cNvPr id="452" name="Picture 451" descr="http://www.abs.gov.au/icons/ecblank.gif">
          <a:extLst>
            <a:ext uri="{FF2B5EF4-FFF2-40B4-BE49-F238E27FC236}">
              <a16:creationId xmlns:a16="http://schemas.microsoft.com/office/drawing/2014/main" id="{28560301-4C2B-D848-B1BE-3C5F9EDA47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18</xdr:row>
      <xdr:rowOff>0</xdr:rowOff>
    </xdr:from>
    <xdr:ext cx="9525" cy="9525"/>
    <xdr:pic>
      <xdr:nvPicPr>
        <xdr:cNvPr id="453" name="Picture 452" descr="http://www.abs.gov.au/icons/ecblank.gif">
          <a:extLst>
            <a:ext uri="{FF2B5EF4-FFF2-40B4-BE49-F238E27FC236}">
              <a16:creationId xmlns:a16="http://schemas.microsoft.com/office/drawing/2014/main" id="{508F95C6-F3AC-3D4A-90CA-52EA085CBC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0</xdr:colOff>
      <xdr:row>18</xdr:row>
      <xdr:rowOff>0</xdr:rowOff>
    </xdr:from>
    <xdr:ext cx="9525" cy="9525"/>
    <xdr:pic>
      <xdr:nvPicPr>
        <xdr:cNvPr id="454" name="Picture 453" descr="http://www.abs.gov.au/icons/ecblank.gif">
          <a:extLst>
            <a:ext uri="{FF2B5EF4-FFF2-40B4-BE49-F238E27FC236}">
              <a16:creationId xmlns:a16="http://schemas.microsoft.com/office/drawing/2014/main" id="{872CEB6E-10B3-4548-8109-0B6BFC8E9A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884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18</xdr:row>
      <xdr:rowOff>0</xdr:rowOff>
    </xdr:from>
    <xdr:ext cx="9525" cy="9525"/>
    <xdr:pic>
      <xdr:nvPicPr>
        <xdr:cNvPr id="455" name="Picture 454" descr="http://www.abs.gov.au/icons/ecblank.gif">
          <a:extLst>
            <a:ext uri="{FF2B5EF4-FFF2-40B4-BE49-F238E27FC236}">
              <a16:creationId xmlns:a16="http://schemas.microsoft.com/office/drawing/2014/main" id="{D75723D8-0D41-0E49-A09B-87E763760A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18</xdr:row>
      <xdr:rowOff>0</xdr:rowOff>
    </xdr:from>
    <xdr:ext cx="9525" cy="9525"/>
    <xdr:pic>
      <xdr:nvPicPr>
        <xdr:cNvPr id="456" name="Picture 455" descr="http://www.abs.gov.au/icons/ecblank.gif">
          <a:extLst>
            <a:ext uri="{FF2B5EF4-FFF2-40B4-BE49-F238E27FC236}">
              <a16:creationId xmlns:a16="http://schemas.microsoft.com/office/drawing/2014/main" id="{32FA081D-E3CE-7B49-8884-9BA4A6938C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18</xdr:row>
      <xdr:rowOff>0</xdr:rowOff>
    </xdr:from>
    <xdr:ext cx="9525" cy="9525"/>
    <xdr:pic>
      <xdr:nvPicPr>
        <xdr:cNvPr id="457" name="Picture 456" descr="http://www.abs.gov.au/icons/ecblank.gif">
          <a:extLst>
            <a:ext uri="{FF2B5EF4-FFF2-40B4-BE49-F238E27FC236}">
              <a16:creationId xmlns:a16="http://schemas.microsoft.com/office/drawing/2014/main" id="{C25256AB-EDF1-E942-9477-9672071BDB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0</xdr:colOff>
      <xdr:row>18</xdr:row>
      <xdr:rowOff>0</xdr:rowOff>
    </xdr:from>
    <xdr:ext cx="9525" cy="9525"/>
    <xdr:pic>
      <xdr:nvPicPr>
        <xdr:cNvPr id="458" name="Picture 457" descr="http://www.abs.gov.au/icons/ecblank.gif">
          <a:extLst>
            <a:ext uri="{FF2B5EF4-FFF2-40B4-BE49-F238E27FC236}">
              <a16:creationId xmlns:a16="http://schemas.microsoft.com/office/drawing/2014/main" id="{8A8FE1FA-57CD-DB40-B80A-EC61126A954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884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18</xdr:row>
      <xdr:rowOff>0</xdr:rowOff>
    </xdr:from>
    <xdr:ext cx="9525" cy="9525"/>
    <xdr:pic>
      <xdr:nvPicPr>
        <xdr:cNvPr id="459" name="Picture 458" descr="http://www.abs.gov.au/icons/ecblank.gif">
          <a:extLst>
            <a:ext uri="{FF2B5EF4-FFF2-40B4-BE49-F238E27FC236}">
              <a16:creationId xmlns:a16="http://schemas.microsoft.com/office/drawing/2014/main" id="{27B1C92C-01B2-0F47-A55E-7EA80AA7AB6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18</xdr:row>
      <xdr:rowOff>0</xdr:rowOff>
    </xdr:from>
    <xdr:ext cx="9525" cy="9525"/>
    <xdr:pic>
      <xdr:nvPicPr>
        <xdr:cNvPr id="460" name="Picture 459" descr="http://www.abs.gov.au/icons/ecblank.gif">
          <a:extLst>
            <a:ext uri="{FF2B5EF4-FFF2-40B4-BE49-F238E27FC236}">
              <a16:creationId xmlns:a16="http://schemas.microsoft.com/office/drawing/2014/main" id="{7C8AE0BE-ACE2-004A-823F-F86BA0A2A1B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18</xdr:row>
      <xdr:rowOff>0</xdr:rowOff>
    </xdr:from>
    <xdr:ext cx="9525" cy="9525"/>
    <xdr:pic>
      <xdr:nvPicPr>
        <xdr:cNvPr id="461" name="Picture 460" descr="http://www.abs.gov.au/icons/ecblank.gif">
          <a:extLst>
            <a:ext uri="{FF2B5EF4-FFF2-40B4-BE49-F238E27FC236}">
              <a16:creationId xmlns:a16="http://schemas.microsoft.com/office/drawing/2014/main" id="{030046B6-D96B-F540-8D35-3CD0B93F93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0</xdr:colOff>
      <xdr:row>18</xdr:row>
      <xdr:rowOff>0</xdr:rowOff>
    </xdr:from>
    <xdr:ext cx="9525" cy="9525"/>
    <xdr:pic>
      <xdr:nvPicPr>
        <xdr:cNvPr id="462" name="Picture 461" descr="http://www.abs.gov.au/icons/ecblank.gif">
          <a:extLst>
            <a:ext uri="{FF2B5EF4-FFF2-40B4-BE49-F238E27FC236}">
              <a16:creationId xmlns:a16="http://schemas.microsoft.com/office/drawing/2014/main" id="{53741155-1B78-4C4B-B2A6-76BA1C9D54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884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18</xdr:row>
      <xdr:rowOff>0</xdr:rowOff>
    </xdr:from>
    <xdr:ext cx="9525" cy="9525"/>
    <xdr:pic>
      <xdr:nvPicPr>
        <xdr:cNvPr id="463" name="Picture 462" descr="http://www.abs.gov.au/icons/ecblank.gif">
          <a:extLst>
            <a:ext uri="{FF2B5EF4-FFF2-40B4-BE49-F238E27FC236}">
              <a16:creationId xmlns:a16="http://schemas.microsoft.com/office/drawing/2014/main" id="{552983D2-9CF1-2D45-B220-744B7BFCA1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18</xdr:row>
      <xdr:rowOff>0</xdr:rowOff>
    </xdr:from>
    <xdr:ext cx="9525" cy="9525"/>
    <xdr:pic>
      <xdr:nvPicPr>
        <xdr:cNvPr id="464" name="Picture 463" descr="http://www.abs.gov.au/icons/ecblank.gif">
          <a:extLst>
            <a:ext uri="{FF2B5EF4-FFF2-40B4-BE49-F238E27FC236}">
              <a16:creationId xmlns:a16="http://schemas.microsoft.com/office/drawing/2014/main" id="{75383A1B-C404-C649-8D68-7626C5FCBE8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18</xdr:row>
      <xdr:rowOff>0</xdr:rowOff>
    </xdr:from>
    <xdr:ext cx="9525" cy="9525"/>
    <xdr:pic>
      <xdr:nvPicPr>
        <xdr:cNvPr id="465" name="Picture 464" descr="http://www.abs.gov.au/icons/ecblank.gif">
          <a:extLst>
            <a:ext uri="{FF2B5EF4-FFF2-40B4-BE49-F238E27FC236}">
              <a16:creationId xmlns:a16="http://schemas.microsoft.com/office/drawing/2014/main" id="{B5C05264-A7DE-3145-95AA-15287267C2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0</xdr:colOff>
      <xdr:row>18</xdr:row>
      <xdr:rowOff>0</xdr:rowOff>
    </xdr:from>
    <xdr:ext cx="9525" cy="9525"/>
    <xdr:pic>
      <xdr:nvPicPr>
        <xdr:cNvPr id="466" name="Picture 465" descr="http://www.abs.gov.au/icons/ecblank.gif">
          <a:extLst>
            <a:ext uri="{FF2B5EF4-FFF2-40B4-BE49-F238E27FC236}">
              <a16:creationId xmlns:a16="http://schemas.microsoft.com/office/drawing/2014/main" id="{EAC15039-BB57-2D42-84F1-368BC2F692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884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18</xdr:row>
      <xdr:rowOff>0</xdr:rowOff>
    </xdr:from>
    <xdr:ext cx="9525" cy="9525"/>
    <xdr:pic>
      <xdr:nvPicPr>
        <xdr:cNvPr id="467" name="Picture 466" descr="http://www.abs.gov.au/icons/ecblank.gif">
          <a:extLst>
            <a:ext uri="{FF2B5EF4-FFF2-40B4-BE49-F238E27FC236}">
              <a16:creationId xmlns:a16="http://schemas.microsoft.com/office/drawing/2014/main" id="{FE1167A9-E1B9-774A-8B55-687C2393B4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18</xdr:row>
      <xdr:rowOff>0</xdr:rowOff>
    </xdr:from>
    <xdr:ext cx="9525" cy="9525"/>
    <xdr:pic>
      <xdr:nvPicPr>
        <xdr:cNvPr id="468" name="Picture 467" descr="http://www.abs.gov.au/icons/ecblank.gif">
          <a:extLst>
            <a:ext uri="{FF2B5EF4-FFF2-40B4-BE49-F238E27FC236}">
              <a16:creationId xmlns:a16="http://schemas.microsoft.com/office/drawing/2014/main" id="{356D9FCE-5CBF-4B44-A720-A89F56C8B6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18</xdr:row>
      <xdr:rowOff>0</xdr:rowOff>
    </xdr:from>
    <xdr:ext cx="9525" cy="9525"/>
    <xdr:pic>
      <xdr:nvPicPr>
        <xdr:cNvPr id="469" name="Picture 468" descr="http://www.abs.gov.au/icons/ecblank.gif">
          <a:extLst>
            <a:ext uri="{FF2B5EF4-FFF2-40B4-BE49-F238E27FC236}">
              <a16:creationId xmlns:a16="http://schemas.microsoft.com/office/drawing/2014/main" id="{0EA47B89-468E-8949-8E23-52098347DB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0</xdr:colOff>
      <xdr:row>18</xdr:row>
      <xdr:rowOff>0</xdr:rowOff>
    </xdr:from>
    <xdr:ext cx="9525" cy="9525"/>
    <xdr:pic>
      <xdr:nvPicPr>
        <xdr:cNvPr id="470" name="Picture 469" descr="http://www.abs.gov.au/icons/ecblank.gif">
          <a:extLst>
            <a:ext uri="{FF2B5EF4-FFF2-40B4-BE49-F238E27FC236}">
              <a16:creationId xmlns:a16="http://schemas.microsoft.com/office/drawing/2014/main" id="{5DD63042-F1CD-2544-80FB-1688C5F28F4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884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18</xdr:row>
      <xdr:rowOff>0</xdr:rowOff>
    </xdr:from>
    <xdr:ext cx="9525" cy="9525"/>
    <xdr:pic>
      <xdr:nvPicPr>
        <xdr:cNvPr id="471" name="Picture 470" descr="http://www.abs.gov.au/icons/ecblank.gif">
          <a:extLst>
            <a:ext uri="{FF2B5EF4-FFF2-40B4-BE49-F238E27FC236}">
              <a16:creationId xmlns:a16="http://schemas.microsoft.com/office/drawing/2014/main" id="{C69CB63A-1273-9B4C-AB70-BB4CC0604C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18</xdr:row>
      <xdr:rowOff>0</xdr:rowOff>
    </xdr:from>
    <xdr:ext cx="9525" cy="9525"/>
    <xdr:pic>
      <xdr:nvPicPr>
        <xdr:cNvPr id="472" name="Picture 471" descr="http://www.abs.gov.au/icons/ecblank.gif">
          <a:extLst>
            <a:ext uri="{FF2B5EF4-FFF2-40B4-BE49-F238E27FC236}">
              <a16:creationId xmlns:a16="http://schemas.microsoft.com/office/drawing/2014/main" id="{7A79883E-FE8F-B645-983D-FDA985A9EB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18</xdr:row>
      <xdr:rowOff>0</xdr:rowOff>
    </xdr:from>
    <xdr:ext cx="9525" cy="9525"/>
    <xdr:pic>
      <xdr:nvPicPr>
        <xdr:cNvPr id="473" name="Picture 472" descr="http://www.abs.gov.au/icons/ecblank.gif">
          <a:extLst>
            <a:ext uri="{FF2B5EF4-FFF2-40B4-BE49-F238E27FC236}">
              <a16:creationId xmlns:a16="http://schemas.microsoft.com/office/drawing/2014/main" id="{B49198A6-E8CD-3E46-A373-96B51170A7A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0</xdr:colOff>
      <xdr:row>18</xdr:row>
      <xdr:rowOff>0</xdr:rowOff>
    </xdr:from>
    <xdr:ext cx="9525" cy="9525"/>
    <xdr:pic>
      <xdr:nvPicPr>
        <xdr:cNvPr id="474" name="Picture 473" descr="http://www.abs.gov.au/icons/ecblank.gif">
          <a:extLst>
            <a:ext uri="{FF2B5EF4-FFF2-40B4-BE49-F238E27FC236}">
              <a16:creationId xmlns:a16="http://schemas.microsoft.com/office/drawing/2014/main" id="{FBA6DE45-3DF7-2A43-BAA6-DBE4BC43B3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884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18</xdr:row>
      <xdr:rowOff>0</xdr:rowOff>
    </xdr:from>
    <xdr:ext cx="9525" cy="9525"/>
    <xdr:pic>
      <xdr:nvPicPr>
        <xdr:cNvPr id="475" name="Picture 474" descr="http://www.abs.gov.au/icons/ecblank.gif">
          <a:extLst>
            <a:ext uri="{FF2B5EF4-FFF2-40B4-BE49-F238E27FC236}">
              <a16:creationId xmlns:a16="http://schemas.microsoft.com/office/drawing/2014/main" id="{2012E740-61F9-654E-9F18-167CF27675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18</xdr:row>
      <xdr:rowOff>0</xdr:rowOff>
    </xdr:from>
    <xdr:ext cx="9525" cy="9525"/>
    <xdr:pic>
      <xdr:nvPicPr>
        <xdr:cNvPr id="476" name="Picture 475" descr="http://www.abs.gov.au/icons/ecblank.gif">
          <a:extLst>
            <a:ext uri="{FF2B5EF4-FFF2-40B4-BE49-F238E27FC236}">
              <a16:creationId xmlns:a16="http://schemas.microsoft.com/office/drawing/2014/main" id="{5099ACBE-ADD9-6A4C-A5DA-ADBB7BDAB2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18</xdr:row>
      <xdr:rowOff>0</xdr:rowOff>
    </xdr:from>
    <xdr:ext cx="9525" cy="9525"/>
    <xdr:pic>
      <xdr:nvPicPr>
        <xdr:cNvPr id="477" name="Picture 476" descr="http://www.abs.gov.au/icons/ecblank.gif">
          <a:extLst>
            <a:ext uri="{FF2B5EF4-FFF2-40B4-BE49-F238E27FC236}">
              <a16:creationId xmlns:a16="http://schemas.microsoft.com/office/drawing/2014/main" id="{291BB4C5-224D-FC40-BF7A-FACC816F49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18</xdr:row>
      <xdr:rowOff>0</xdr:rowOff>
    </xdr:from>
    <xdr:ext cx="9525" cy="9525"/>
    <xdr:pic>
      <xdr:nvPicPr>
        <xdr:cNvPr id="478" name="Picture 477" descr="http://www.abs.gov.au/icons/ecblank.gif">
          <a:extLst>
            <a:ext uri="{FF2B5EF4-FFF2-40B4-BE49-F238E27FC236}">
              <a16:creationId xmlns:a16="http://schemas.microsoft.com/office/drawing/2014/main" id="{BE2BC30F-6429-2C49-A406-3EABDD95C8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18</xdr:row>
      <xdr:rowOff>0</xdr:rowOff>
    </xdr:from>
    <xdr:ext cx="9525" cy="9525"/>
    <xdr:pic>
      <xdr:nvPicPr>
        <xdr:cNvPr id="479" name="Picture 478" descr="http://www.abs.gov.au/icons/ecblank.gif">
          <a:extLst>
            <a:ext uri="{FF2B5EF4-FFF2-40B4-BE49-F238E27FC236}">
              <a16:creationId xmlns:a16="http://schemas.microsoft.com/office/drawing/2014/main" id="{0B7EF527-331E-9345-BF23-250BEF08A1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18</xdr:row>
      <xdr:rowOff>0</xdr:rowOff>
    </xdr:from>
    <xdr:ext cx="9525" cy="9525"/>
    <xdr:pic>
      <xdr:nvPicPr>
        <xdr:cNvPr id="480" name="Picture 479" descr="http://www.abs.gov.au/icons/ecblank.gif">
          <a:extLst>
            <a:ext uri="{FF2B5EF4-FFF2-40B4-BE49-F238E27FC236}">
              <a16:creationId xmlns:a16="http://schemas.microsoft.com/office/drawing/2014/main" id="{80E9E8FC-5868-3F48-823A-1FE9685E94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18</xdr:row>
      <xdr:rowOff>0</xdr:rowOff>
    </xdr:from>
    <xdr:ext cx="9525" cy="9525"/>
    <xdr:pic>
      <xdr:nvPicPr>
        <xdr:cNvPr id="481" name="Picture 480" descr="http://www.abs.gov.au/icons/ecblank.gif">
          <a:extLst>
            <a:ext uri="{FF2B5EF4-FFF2-40B4-BE49-F238E27FC236}">
              <a16:creationId xmlns:a16="http://schemas.microsoft.com/office/drawing/2014/main" id="{4B188845-080C-9F46-949C-E2927BC580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18</xdr:row>
      <xdr:rowOff>0</xdr:rowOff>
    </xdr:from>
    <xdr:ext cx="9525" cy="9525"/>
    <xdr:pic>
      <xdr:nvPicPr>
        <xdr:cNvPr id="482" name="Picture 481" descr="http://www.abs.gov.au/icons/ecblank.gif">
          <a:extLst>
            <a:ext uri="{FF2B5EF4-FFF2-40B4-BE49-F238E27FC236}">
              <a16:creationId xmlns:a16="http://schemas.microsoft.com/office/drawing/2014/main" id="{23D81D1F-BDD0-3540-903F-AF9A5AA9B2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18</xdr:row>
      <xdr:rowOff>0</xdr:rowOff>
    </xdr:from>
    <xdr:ext cx="9525" cy="9525"/>
    <xdr:pic>
      <xdr:nvPicPr>
        <xdr:cNvPr id="483" name="Picture 482" descr="http://www.abs.gov.au/icons/ecblank.gif">
          <a:extLst>
            <a:ext uri="{FF2B5EF4-FFF2-40B4-BE49-F238E27FC236}">
              <a16:creationId xmlns:a16="http://schemas.microsoft.com/office/drawing/2014/main" id="{D6B7C09A-C74F-2A40-AC35-33DF81640C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18</xdr:row>
      <xdr:rowOff>0</xdr:rowOff>
    </xdr:from>
    <xdr:ext cx="9525" cy="9525"/>
    <xdr:pic>
      <xdr:nvPicPr>
        <xdr:cNvPr id="484" name="Picture 483" descr="http://www.abs.gov.au/icons/ecblank.gif">
          <a:extLst>
            <a:ext uri="{FF2B5EF4-FFF2-40B4-BE49-F238E27FC236}">
              <a16:creationId xmlns:a16="http://schemas.microsoft.com/office/drawing/2014/main" id="{A8DE4EAD-9B58-9148-AB13-1A88FDEE9E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18</xdr:row>
      <xdr:rowOff>0</xdr:rowOff>
    </xdr:from>
    <xdr:ext cx="9525" cy="9525"/>
    <xdr:pic>
      <xdr:nvPicPr>
        <xdr:cNvPr id="485" name="Picture 484" descr="http://www.abs.gov.au/icons/ecblank.gif">
          <a:extLst>
            <a:ext uri="{FF2B5EF4-FFF2-40B4-BE49-F238E27FC236}">
              <a16:creationId xmlns:a16="http://schemas.microsoft.com/office/drawing/2014/main" id="{3D00FCE7-6915-F14B-B854-6D3011EB05B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18</xdr:row>
      <xdr:rowOff>0</xdr:rowOff>
    </xdr:from>
    <xdr:ext cx="9525" cy="9525"/>
    <xdr:pic>
      <xdr:nvPicPr>
        <xdr:cNvPr id="486" name="Picture 485" descr="http://www.abs.gov.au/icons/ecblank.gif">
          <a:extLst>
            <a:ext uri="{FF2B5EF4-FFF2-40B4-BE49-F238E27FC236}">
              <a16:creationId xmlns:a16="http://schemas.microsoft.com/office/drawing/2014/main" id="{F317AF18-9309-6C49-AE3A-9D810429BB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18</xdr:row>
      <xdr:rowOff>0</xdr:rowOff>
    </xdr:from>
    <xdr:ext cx="9525" cy="9525"/>
    <xdr:pic>
      <xdr:nvPicPr>
        <xdr:cNvPr id="487" name="Picture 486" descr="http://www.abs.gov.au/icons/ecblank.gif">
          <a:extLst>
            <a:ext uri="{FF2B5EF4-FFF2-40B4-BE49-F238E27FC236}">
              <a16:creationId xmlns:a16="http://schemas.microsoft.com/office/drawing/2014/main" id="{D4055BEB-1D0F-184F-834F-2A6F3575BB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18</xdr:row>
      <xdr:rowOff>0</xdr:rowOff>
    </xdr:from>
    <xdr:ext cx="9525" cy="9525"/>
    <xdr:pic>
      <xdr:nvPicPr>
        <xdr:cNvPr id="488" name="Picture 487" descr="http://www.abs.gov.au/icons/ecblank.gif">
          <a:extLst>
            <a:ext uri="{FF2B5EF4-FFF2-40B4-BE49-F238E27FC236}">
              <a16:creationId xmlns:a16="http://schemas.microsoft.com/office/drawing/2014/main" id="{5E7D41D4-152C-F740-B4A8-4FD0CC8079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18</xdr:row>
      <xdr:rowOff>0</xdr:rowOff>
    </xdr:from>
    <xdr:ext cx="9525" cy="9525"/>
    <xdr:pic>
      <xdr:nvPicPr>
        <xdr:cNvPr id="489" name="Picture 488" descr="http://www.abs.gov.au/icons/ecblank.gif">
          <a:extLst>
            <a:ext uri="{FF2B5EF4-FFF2-40B4-BE49-F238E27FC236}">
              <a16:creationId xmlns:a16="http://schemas.microsoft.com/office/drawing/2014/main" id="{24C84366-CE74-6D4B-8BC8-723B451D5B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18</xdr:row>
      <xdr:rowOff>0</xdr:rowOff>
    </xdr:from>
    <xdr:ext cx="9525" cy="9525"/>
    <xdr:pic>
      <xdr:nvPicPr>
        <xdr:cNvPr id="490" name="Picture 489" descr="http://www.abs.gov.au/icons/ecblank.gif">
          <a:extLst>
            <a:ext uri="{FF2B5EF4-FFF2-40B4-BE49-F238E27FC236}">
              <a16:creationId xmlns:a16="http://schemas.microsoft.com/office/drawing/2014/main" id="{6DCB006C-D7C6-7F41-964D-1D349DF1D5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18</xdr:row>
      <xdr:rowOff>0</xdr:rowOff>
    </xdr:from>
    <xdr:ext cx="9525" cy="9525"/>
    <xdr:pic>
      <xdr:nvPicPr>
        <xdr:cNvPr id="491" name="Picture 490" descr="http://www.abs.gov.au/icons/ecblank.gif">
          <a:extLst>
            <a:ext uri="{FF2B5EF4-FFF2-40B4-BE49-F238E27FC236}">
              <a16:creationId xmlns:a16="http://schemas.microsoft.com/office/drawing/2014/main" id="{131CBC4A-284A-734F-BB2C-7ED907C832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18</xdr:row>
      <xdr:rowOff>0</xdr:rowOff>
    </xdr:from>
    <xdr:ext cx="9525" cy="9525"/>
    <xdr:pic>
      <xdr:nvPicPr>
        <xdr:cNvPr id="492" name="Picture 491" descr="http://www.abs.gov.au/icons/ecblank.gif">
          <a:extLst>
            <a:ext uri="{FF2B5EF4-FFF2-40B4-BE49-F238E27FC236}">
              <a16:creationId xmlns:a16="http://schemas.microsoft.com/office/drawing/2014/main" id="{CED0CC4E-9846-7246-9FA3-83FED35F4E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18</xdr:row>
      <xdr:rowOff>0</xdr:rowOff>
    </xdr:from>
    <xdr:ext cx="9525" cy="9525"/>
    <xdr:pic>
      <xdr:nvPicPr>
        <xdr:cNvPr id="493" name="Picture 492" descr="http://www.abs.gov.au/icons/ecblank.gif">
          <a:extLst>
            <a:ext uri="{FF2B5EF4-FFF2-40B4-BE49-F238E27FC236}">
              <a16:creationId xmlns:a16="http://schemas.microsoft.com/office/drawing/2014/main" id="{FEA02EA3-EC6F-044C-9D8D-682BDA0144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18</xdr:row>
      <xdr:rowOff>0</xdr:rowOff>
    </xdr:from>
    <xdr:ext cx="9525" cy="9525"/>
    <xdr:pic>
      <xdr:nvPicPr>
        <xdr:cNvPr id="494" name="Picture 493" descr="http://www.abs.gov.au/icons/ecblank.gif">
          <a:extLst>
            <a:ext uri="{FF2B5EF4-FFF2-40B4-BE49-F238E27FC236}">
              <a16:creationId xmlns:a16="http://schemas.microsoft.com/office/drawing/2014/main" id="{0FDAC7C7-02B5-A045-A582-7965BF953EF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18</xdr:row>
      <xdr:rowOff>0</xdr:rowOff>
    </xdr:from>
    <xdr:ext cx="9525" cy="9525"/>
    <xdr:pic>
      <xdr:nvPicPr>
        <xdr:cNvPr id="495" name="Picture 494" descr="http://www.abs.gov.au/icons/ecblank.gif">
          <a:extLst>
            <a:ext uri="{FF2B5EF4-FFF2-40B4-BE49-F238E27FC236}">
              <a16:creationId xmlns:a16="http://schemas.microsoft.com/office/drawing/2014/main" id="{5A4308C1-F660-8647-ACFA-62979B3F6F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18</xdr:row>
      <xdr:rowOff>0</xdr:rowOff>
    </xdr:from>
    <xdr:ext cx="9525" cy="9525"/>
    <xdr:pic>
      <xdr:nvPicPr>
        <xdr:cNvPr id="496" name="Picture 495" descr="http://www.abs.gov.au/icons/ecblank.gif">
          <a:extLst>
            <a:ext uri="{FF2B5EF4-FFF2-40B4-BE49-F238E27FC236}">
              <a16:creationId xmlns:a16="http://schemas.microsoft.com/office/drawing/2014/main" id="{28D8D7D0-4F07-2F45-8816-489B78D773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18</xdr:row>
      <xdr:rowOff>0</xdr:rowOff>
    </xdr:from>
    <xdr:ext cx="9525" cy="9525"/>
    <xdr:pic>
      <xdr:nvPicPr>
        <xdr:cNvPr id="497" name="Picture 496" descr="http://www.abs.gov.au/icons/ecblank.gif">
          <a:extLst>
            <a:ext uri="{FF2B5EF4-FFF2-40B4-BE49-F238E27FC236}">
              <a16:creationId xmlns:a16="http://schemas.microsoft.com/office/drawing/2014/main" id="{40639A99-2B46-0B4C-9E1F-B3078647CC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18</xdr:row>
      <xdr:rowOff>0</xdr:rowOff>
    </xdr:from>
    <xdr:ext cx="9525" cy="9525"/>
    <xdr:pic>
      <xdr:nvPicPr>
        <xdr:cNvPr id="498" name="Picture 497" descr="http://www.abs.gov.au/icons/ecblank.gif">
          <a:extLst>
            <a:ext uri="{FF2B5EF4-FFF2-40B4-BE49-F238E27FC236}">
              <a16:creationId xmlns:a16="http://schemas.microsoft.com/office/drawing/2014/main" id="{5F656CCD-0C15-B648-8C70-E352D62907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18</xdr:row>
      <xdr:rowOff>0</xdr:rowOff>
    </xdr:from>
    <xdr:ext cx="9525" cy="9525"/>
    <xdr:pic>
      <xdr:nvPicPr>
        <xdr:cNvPr id="499" name="Picture 498" descr="http://www.abs.gov.au/icons/ecblank.gif">
          <a:extLst>
            <a:ext uri="{FF2B5EF4-FFF2-40B4-BE49-F238E27FC236}">
              <a16:creationId xmlns:a16="http://schemas.microsoft.com/office/drawing/2014/main" id="{FD764C36-12DF-164D-89BC-A787F5B276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18</xdr:row>
      <xdr:rowOff>0</xdr:rowOff>
    </xdr:from>
    <xdr:ext cx="9525" cy="9525"/>
    <xdr:pic>
      <xdr:nvPicPr>
        <xdr:cNvPr id="500" name="Picture 499" descr="http://www.abs.gov.au/icons/ecblank.gif">
          <a:extLst>
            <a:ext uri="{FF2B5EF4-FFF2-40B4-BE49-F238E27FC236}">
              <a16:creationId xmlns:a16="http://schemas.microsoft.com/office/drawing/2014/main" id="{81F00922-CFB8-9B49-BEE1-E9BCA15166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18</xdr:row>
      <xdr:rowOff>0</xdr:rowOff>
    </xdr:from>
    <xdr:ext cx="9525" cy="9525"/>
    <xdr:pic>
      <xdr:nvPicPr>
        <xdr:cNvPr id="501" name="Picture 500" descr="http://www.abs.gov.au/icons/ecblank.gif">
          <a:extLst>
            <a:ext uri="{FF2B5EF4-FFF2-40B4-BE49-F238E27FC236}">
              <a16:creationId xmlns:a16="http://schemas.microsoft.com/office/drawing/2014/main" id="{963E7D4C-5F26-204E-A9CC-1F57980E6B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18</xdr:row>
      <xdr:rowOff>0</xdr:rowOff>
    </xdr:from>
    <xdr:ext cx="9525" cy="9525"/>
    <xdr:pic>
      <xdr:nvPicPr>
        <xdr:cNvPr id="502" name="Picture 501" descr="http://www.abs.gov.au/icons/ecblank.gif">
          <a:extLst>
            <a:ext uri="{FF2B5EF4-FFF2-40B4-BE49-F238E27FC236}">
              <a16:creationId xmlns:a16="http://schemas.microsoft.com/office/drawing/2014/main" id="{332C734D-C7C9-0643-9D55-97E092261B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18</xdr:row>
      <xdr:rowOff>0</xdr:rowOff>
    </xdr:from>
    <xdr:ext cx="9525" cy="9525"/>
    <xdr:pic>
      <xdr:nvPicPr>
        <xdr:cNvPr id="503" name="Picture 502" descr="http://www.abs.gov.au/icons/ecblank.gif">
          <a:extLst>
            <a:ext uri="{FF2B5EF4-FFF2-40B4-BE49-F238E27FC236}">
              <a16:creationId xmlns:a16="http://schemas.microsoft.com/office/drawing/2014/main" id="{E9472B2A-CFC0-7C41-9611-B3625EC7A1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18</xdr:row>
      <xdr:rowOff>0</xdr:rowOff>
    </xdr:from>
    <xdr:ext cx="9525" cy="9525"/>
    <xdr:pic>
      <xdr:nvPicPr>
        <xdr:cNvPr id="504" name="Picture 503" descr="http://www.abs.gov.au/icons/ecblank.gif">
          <a:extLst>
            <a:ext uri="{FF2B5EF4-FFF2-40B4-BE49-F238E27FC236}">
              <a16:creationId xmlns:a16="http://schemas.microsoft.com/office/drawing/2014/main" id="{140797AC-CE99-F844-9CD2-FABED5DF326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18</xdr:row>
      <xdr:rowOff>0</xdr:rowOff>
    </xdr:from>
    <xdr:ext cx="9525" cy="9525"/>
    <xdr:pic>
      <xdr:nvPicPr>
        <xdr:cNvPr id="505" name="Picture 504" descr="http://www.abs.gov.au/icons/ecblank.gif">
          <a:extLst>
            <a:ext uri="{FF2B5EF4-FFF2-40B4-BE49-F238E27FC236}">
              <a16:creationId xmlns:a16="http://schemas.microsoft.com/office/drawing/2014/main" id="{85ED0F57-3DAE-0E44-B7C3-576819D4CB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18</xdr:row>
      <xdr:rowOff>0</xdr:rowOff>
    </xdr:from>
    <xdr:ext cx="9525" cy="9525"/>
    <xdr:pic>
      <xdr:nvPicPr>
        <xdr:cNvPr id="506" name="Picture 505" descr="http://www.abs.gov.au/icons/ecblank.gif">
          <a:extLst>
            <a:ext uri="{FF2B5EF4-FFF2-40B4-BE49-F238E27FC236}">
              <a16:creationId xmlns:a16="http://schemas.microsoft.com/office/drawing/2014/main" id="{41D6B3B7-0AE4-514B-B3F3-694613CDF2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18</xdr:row>
      <xdr:rowOff>0</xdr:rowOff>
    </xdr:from>
    <xdr:ext cx="9525" cy="9525"/>
    <xdr:pic>
      <xdr:nvPicPr>
        <xdr:cNvPr id="507" name="Picture 506" descr="http://www.abs.gov.au/icons/ecblank.gif">
          <a:extLst>
            <a:ext uri="{FF2B5EF4-FFF2-40B4-BE49-F238E27FC236}">
              <a16:creationId xmlns:a16="http://schemas.microsoft.com/office/drawing/2014/main" id="{23706E4A-E352-2442-A822-85117F3450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18</xdr:row>
      <xdr:rowOff>0</xdr:rowOff>
    </xdr:from>
    <xdr:ext cx="9525" cy="9525"/>
    <xdr:pic>
      <xdr:nvPicPr>
        <xdr:cNvPr id="508" name="Picture 507" descr="http://www.abs.gov.au/icons/ecblank.gif">
          <a:extLst>
            <a:ext uri="{FF2B5EF4-FFF2-40B4-BE49-F238E27FC236}">
              <a16:creationId xmlns:a16="http://schemas.microsoft.com/office/drawing/2014/main" id="{19E84000-DCD8-644C-A1ED-AAB9A9EBEE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18</xdr:row>
      <xdr:rowOff>0</xdr:rowOff>
    </xdr:from>
    <xdr:ext cx="9525" cy="9525"/>
    <xdr:pic>
      <xdr:nvPicPr>
        <xdr:cNvPr id="509" name="Picture 508" descr="http://www.abs.gov.au/icons/ecblank.gif">
          <a:extLst>
            <a:ext uri="{FF2B5EF4-FFF2-40B4-BE49-F238E27FC236}">
              <a16:creationId xmlns:a16="http://schemas.microsoft.com/office/drawing/2014/main" id="{763B4920-BC61-EB4E-87A3-4B8B29BA03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18</xdr:row>
      <xdr:rowOff>0</xdr:rowOff>
    </xdr:from>
    <xdr:ext cx="9525" cy="9525"/>
    <xdr:pic>
      <xdr:nvPicPr>
        <xdr:cNvPr id="510" name="Picture 509" descr="http://www.abs.gov.au/icons/ecblank.gif">
          <a:extLst>
            <a:ext uri="{FF2B5EF4-FFF2-40B4-BE49-F238E27FC236}">
              <a16:creationId xmlns:a16="http://schemas.microsoft.com/office/drawing/2014/main" id="{D5436635-AAE0-9846-AADF-B366FA2A7D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18</xdr:row>
      <xdr:rowOff>0</xdr:rowOff>
    </xdr:from>
    <xdr:ext cx="9525" cy="9525"/>
    <xdr:pic>
      <xdr:nvPicPr>
        <xdr:cNvPr id="511" name="Picture 510" descr="http://www.abs.gov.au/icons/ecblank.gif">
          <a:extLst>
            <a:ext uri="{FF2B5EF4-FFF2-40B4-BE49-F238E27FC236}">
              <a16:creationId xmlns:a16="http://schemas.microsoft.com/office/drawing/2014/main" id="{2222CB7A-7DD0-B143-AF4F-B3891A4915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18</xdr:row>
      <xdr:rowOff>0</xdr:rowOff>
    </xdr:from>
    <xdr:ext cx="9525" cy="9525"/>
    <xdr:pic>
      <xdr:nvPicPr>
        <xdr:cNvPr id="512" name="Picture 511" descr="http://www.abs.gov.au/icons/ecblank.gif">
          <a:extLst>
            <a:ext uri="{FF2B5EF4-FFF2-40B4-BE49-F238E27FC236}">
              <a16:creationId xmlns:a16="http://schemas.microsoft.com/office/drawing/2014/main" id="{0B58B920-81C2-6F47-91B2-CD44F102E1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18</xdr:row>
      <xdr:rowOff>0</xdr:rowOff>
    </xdr:from>
    <xdr:ext cx="9525" cy="9525"/>
    <xdr:pic>
      <xdr:nvPicPr>
        <xdr:cNvPr id="513" name="Picture 512" descr="http://www.abs.gov.au/icons/ecblank.gif">
          <a:extLst>
            <a:ext uri="{FF2B5EF4-FFF2-40B4-BE49-F238E27FC236}">
              <a16:creationId xmlns:a16="http://schemas.microsoft.com/office/drawing/2014/main" id="{ED19E24D-AC96-DA4B-BD76-922A6C6F9D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18</xdr:row>
      <xdr:rowOff>0</xdr:rowOff>
    </xdr:from>
    <xdr:ext cx="9525" cy="9525"/>
    <xdr:pic>
      <xdr:nvPicPr>
        <xdr:cNvPr id="514" name="Picture 513" descr="http://www.abs.gov.au/icons/ecblank.gif">
          <a:extLst>
            <a:ext uri="{FF2B5EF4-FFF2-40B4-BE49-F238E27FC236}">
              <a16:creationId xmlns:a16="http://schemas.microsoft.com/office/drawing/2014/main" id="{B3D58140-27F3-1C49-AB9F-D14EBA1C17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18</xdr:row>
      <xdr:rowOff>0</xdr:rowOff>
    </xdr:from>
    <xdr:ext cx="9525" cy="9525"/>
    <xdr:pic>
      <xdr:nvPicPr>
        <xdr:cNvPr id="515" name="Picture 514" descr="http://www.abs.gov.au/icons/ecblank.gif">
          <a:extLst>
            <a:ext uri="{FF2B5EF4-FFF2-40B4-BE49-F238E27FC236}">
              <a16:creationId xmlns:a16="http://schemas.microsoft.com/office/drawing/2014/main" id="{294C870E-F4CA-E747-BA16-A718E484D6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18</xdr:row>
      <xdr:rowOff>0</xdr:rowOff>
    </xdr:from>
    <xdr:ext cx="9525" cy="9525"/>
    <xdr:pic>
      <xdr:nvPicPr>
        <xdr:cNvPr id="516" name="Picture 515" descr="http://www.abs.gov.au/icons/ecblank.gif">
          <a:extLst>
            <a:ext uri="{FF2B5EF4-FFF2-40B4-BE49-F238E27FC236}">
              <a16:creationId xmlns:a16="http://schemas.microsoft.com/office/drawing/2014/main" id="{028C2619-08D0-8E42-8559-F26A95E9A2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18</xdr:row>
      <xdr:rowOff>0</xdr:rowOff>
    </xdr:from>
    <xdr:ext cx="9525" cy="9525"/>
    <xdr:pic>
      <xdr:nvPicPr>
        <xdr:cNvPr id="517" name="Picture 516" descr="http://www.abs.gov.au/icons/ecblank.gif">
          <a:extLst>
            <a:ext uri="{FF2B5EF4-FFF2-40B4-BE49-F238E27FC236}">
              <a16:creationId xmlns:a16="http://schemas.microsoft.com/office/drawing/2014/main" id="{F48146C9-4666-EA43-AB1C-FFA22DCE3F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18</xdr:row>
      <xdr:rowOff>0</xdr:rowOff>
    </xdr:from>
    <xdr:ext cx="9525" cy="9525"/>
    <xdr:pic>
      <xdr:nvPicPr>
        <xdr:cNvPr id="518" name="Picture 517" descr="http://www.abs.gov.au/icons/ecblank.gif">
          <a:extLst>
            <a:ext uri="{FF2B5EF4-FFF2-40B4-BE49-F238E27FC236}">
              <a16:creationId xmlns:a16="http://schemas.microsoft.com/office/drawing/2014/main" id="{697513C0-A7A0-CB43-9B63-710C500A0C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18</xdr:row>
      <xdr:rowOff>0</xdr:rowOff>
    </xdr:from>
    <xdr:ext cx="9525" cy="9525"/>
    <xdr:pic>
      <xdr:nvPicPr>
        <xdr:cNvPr id="519" name="Picture 518" descr="http://www.abs.gov.au/icons/ecblank.gif">
          <a:extLst>
            <a:ext uri="{FF2B5EF4-FFF2-40B4-BE49-F238E27FC236}">
              <a16:creationId xmlns:a16="http://schemas.microsoft.com/office/drawing/2014/main" id="{CA81BD05-3A20-D34C-AE81-B38AD1EA57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18</xdr:row>
      <xdr:rowOff>0</xdr:rowOff>
    </xdr:from>
    <xdr:ext cx="9525" cy="9525"/>
    <xdr:pic>
      <xdr:nvPicPr>
        <xdr:cNvPr id="520" name="Picture 519" descr="http://www.abs.gov.au/icons/ecblank.gif">
          <a:extLst>
            <a:ext uri="{FF2B5EF4-FFF2-40B4-BE49-F238E27FC236}">
              <a16:creationId xmlns:a16="http://schemas.microsoft.com/office/drawing/2014/main" id="{634589AE-A086-9F4E-82FA-873F647222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18</xdr:row>
      <xdr:rowOff>0</xdr:rowOff>
    </xdr:from>
    <xdr:ext cx="9525" cy="9525"/>
    <xdr:pic>
      <xdr:nvPicPr>
        <xdr:cNvPr id="521" name="Picture 520" descr="http://www.abs.gov.au/icons/ecblank.gif">
          <a:extLst>
            <a:ext uri="{FF2B5EF4-FFF2-40B4-BE49-F238E27FC236}">
              <a16:creationId xmlns:a16="http://schemas.microsoft.com/office/drawing/2014/main" id="{722C68DA-5EF2-964A-B7FD-02969B7093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18</xdr:row>
      <xdr:rowOff>0</xdr:rowOff>
    </xdr:from>
    <xdr:ext cx="9525" cy="9525"/>
    <xdr:pic>
      <xdr:nvPicPr>
        <xdr:cNvPr id="522" name="Picture 521" descr="http://www.abs.gov.au/icons/ecblank.gif">
          <a:extLst>
            <a:ext uri="{FF2B5EF4-FFF2-40B4-BE49-F238E27FC236}">
              <a16:creationId xmlns:a16="http://schemas.microsoft.com/office/drawing/2014/main" id="{509A009D-A4A5-A146-BCD6-7A79EAA492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18</xdr:row>
      <xdr:rowOff>0</xdr:rowOff>
    </xdr:from>
    <xdr:ext cx="9525" cy="9525"/>
    <xdr:pic>
      <xdr:nvPicPr>
        <xdr:cNvPr id="523" name="Picture 522" descr="http://www.abs.gov.au/icons/ecblank.gif">
          <a:extLst>
            <a:ext uri="{FF2B5EF4-FFF2-40B4-BE49-F238E27FC236}">
              <a16:creationId xmlns:a16="http://schemas.microsoft.com/office/drawing/2014/main" id="{180859CC-E711-1045-9FA1-E2C9D82C64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18</xdr:row>
      <xdr:rowOff>0</xdr:rowOff>
    </xdr:from>
    <xdr:ext cx="9525" cy="9525"/>
    <xdr:pic>
      <xdr:nvPicPr>
        <xdr:cNvPr id="524" name="Picture 523" descr="http://www.abs.gov.au/icons/ecblank.gif">
          <a:extLst>
            <a:ext uri="{FF2B5EF4-FFF2-40B4-BE49-F238E27FC236}">
              <a16:creationId xmlns:a16="http://schemas.microsoft.com/office/drawing/2014/main" id="{8EDFC608-4853-0746-B59E-3CC260E8E8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18</xdr:row>
      <xdr:rowOff>0</xdr:rowOff>
    </xdr:from>
    <xdr:ext cx="9525" cy="9525"/>
    <xdr:pic>
      <xdr:nvPicPr>
        <xdr:cNvPr id="525" name="Picture 524" descr="http://www.abs.gov.au/icons/ecblank.gif">
          <a:extLst>
            <a:ext uri="{FF2B5EF4-FFF2-40B4-BE49-F238E27FC236}">
              <a16:creationId xmlns:a16="http://schemas.microsoft.com/office/drawing/2014/main" id="{4F3B0655-C087-E94E-8878-94240CE0F8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18</xdr:row>
      <xdr:rowOff>0</xdr:rowOff>
    </xdr:from>
    <xdr:ext cx="9525" cy="9525"/>
    <xdr:pic>
      <xdr:nvPicPr>
        <xdr:cNvPr id="526" name="Picture 525" descr="http://www.abs.gov.au/icons/ecblank.gif">
          <a:extLst>
            <a:ext uri="{FF2B5EF4-FFF2-40B4-BE49-F238E27FC236}">
              <a16:creationId xmlns:a16="http://schemas.microsoft.com/office/drawing/2014/main" id="{9A335E83-64F0-EC40-9853-CAC12C8F0B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18</xdr:row>
      <xdr:rowOff>0</xdr:rowOff>
    </xdr:from>
    <xdr:ext cx="9525" cy="9525"/>
    <xdr:pic>
      <xdr:nvPicPr>
        <xdr:cNvPr id="527" name="Picture 526" descr="http://www.abs.gov.au/icons/ecblank.gif">
          <a:extLst>
            <a:ext uri="{FF2B5EF4-FFF2-40B4-BE49-F238E27FC236}">
              <a16:creationId xmlns:a16="http://schemas.microsoft.com/office/drawing/2014/main" id="{D0FA2CFF-DD08-DB47-AB71-0ECF303B36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18</xdr:row>
      <xdr:rowOff>0</xdr:rowOff>
    </xdr:from>
    <xdr:ext cx="9525" cy="9525"/>
    <xdr:pic>
      <xdr:nvPicPr>
        <xdr:cNvPr id="528" name="Picture 527" descr="http://www.abs.gov.au/icons/ecblank.gif">
          <a:extLst>
            <a:ext uri="{FF2B5EF4-FFF2-40B4-BE49-F238E27FC236}">
              <a16:creationId xmlns:a16="http://schemas.microsoft.com/office/drawing/2014/main" id="{7540AC98-170B-734F-8C4B-AD6F76188BB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18</xdr:row>
      <xdr:rowOff>0</xdr:rowOff>
    </xdr:from>
    <xdr:ext cx="9525" cy="9525"/>
    <xdr:pic>
      <xdr:nvPicPr>
        <xdr:cNvPr id="529" name="Picture 528" descr="http://www.abs.gov.au/icons/ecblank.gif">
          <a:extLst>
            <a:ext uri="{FF2B5EF4-FFF2-40B4-BE49-F238E27FC236}">
              <a16:creationId xmlns:a16="http://schemas.microsoft.com/office/drawing/2014/main" id="{99575962-0955-3741-863E-04E1AC95F5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18</xdr:row>
      <xdr:rowOff>0</xdr:rowOff>
    </xdr:from>
    <xdr:ext cx="9525" cy="9525"/>
    <xdr:pic>
      <xdr:nvPicPr>
        <xdr:cNvPr id="530" name="Picture 529" descr="http://www.abs.gov.au/icons/ecblank.gif">
          <a:extLst>
            <a:ext uri="{FF2B5EF4-FFF2-40B4-BE49-F238E27FC236}">
              <a16:creationId xmlns:a16="http://schemas.microsoft.com/office/drawing/2014/main" id="{05E8307E-3B0D-7A4C-89F8-CCD07EB5CC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18</xdr:row>
      <xdr:rowOff>0</xdr:rowOff>
    </xdr:from>
    <xdr:ext cx="9525" cy="9525"/>
    <xdr:pic>
      <xdr:nvPicPr>
        <xdr:cNvPr id="531" name="Picture 530" descr="http://www.abs.gov.au/icons/ecblank.gif">
          <a:extLst>
            <a:ext uri="{FF2B5EF4-FFF2-40B4-BE49-F238E27FC236}">
              <a16:creationId xmlns:a16="http://schemas.microsoft.com/office/drawing/2014/main" id="{1A8337F0-986E-D942-9D37-D173A2E673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18</xdr:row>
      <xdr:rowOff>0</xdr:rowOff>
    </xdr:from>
    <xdr:ext cx="9525" cy="9525"/>
    <xdr:pic>
      <xdr:nvPicPr>
        <xdr:cNvPr id="532" name="Picture 531" descr="http://www.abs.gov.au/icons/ecblank.gif">
          <a:extLst>
            <a:ext uri="{FF2B5EF4-FFF2-40B4-BE49-F238E27FC236}">
              <a16:creationId xmlns:a16="http://schemas.microsoft.com/office/drawing/2014/main" id="{2013F737-2D0D-374D-B1FF-1EDAC2D0B1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18</xdr:row>
      <xdr:rowOff>0</xdr:rowOff>
    </xdr:from>
    <xdr:ext cx="9525" cy="9525"/>
    <xdr:pic>
      <xdr:nvPicPr>
        <xdr:cNvPr id="533" name="Picture 532" descr="http://www.abs.gov.au/icons/ecblank.gif">
          <a:extLst>
            <a:ext uri="{FF2B5EF4-FFF2-40B4-BE49-F238E27FC236}">
              <a16:creationId xmlns:a16="http://schemas.microsoft.com/office/drawing/2014/main" id="{CD836D00-D2DA-674F-BA70-4466218C6F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18</xdr:row>
      <xdr:rowOff>0</xdr:rowOff>
    </xdr:from>
    <xdr:ext cx="9525" cy="9525"/>
    <xdr:pic>
      <xdr:nvPicPr>
        <xdr:cNvPr id="534" name="Picture 533" descr="http://www.abs.gov.au/icons/ecblank.gif">
          <a:extLst>
            <a:ext uri="{FF2B5EF4-FFF2-40B4-BE49-F238E27FC236}">
              <a16:creationId xmlns:a16="http://schemas.microsoft.com/office/drawing/2014/main" id="{B480F0C8-519B-E74F-A585-98D3590236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18</xdr:row>
      <xdr:rowOff>0</xdr:rowOff>
    </xdr:from>
    <xdr:ext cx="9525" cy="9525"/>
    <xdr:pic>
      <xdr:nvPicPr>
        <xdr:cNvPr id="535" name="Picture 534" descr="http://www.abs.gov.au/icons/ecblank.gif">
          <a:extLst>
            <a:ext uri="{FF2B5EF4-FFF2-40B4-BE49-F238E27FC236}">
              <a16:creationId xmlns:a16="http://schemas.microsoft.com/office/drawing/2014/main" id="{33946FB7-975F-1E45-9C16-0F045DAE6BE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18</xdr:row>
      <xdr:rowOff>0</xdr:rowOff>
    </xdr:from>
    <xdr:ext cx="9525" cy="9525"/>
    <xdr:pic>
      <xdr:nvPicPr>
        <xdr:cNvPr id="536" name="Picture 535" descr="http://www.abs.gov.au/icons/ecblank.gif">
          <a:extLst>
            <a:ext uri="{FF2B5EF4-FFF2-40B4-BE49-F238E27FC236}">
              <a16:creationId xmlns:a16="http://schemas.microsoft.com/office/drawing/2014/main" id="{96B3366F-56E2-CE46-986F-69AC625D04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18</xdr:row>
      <xdr:rowOff>0</xdr:rowOff>
    </xdr:from>
    <xdr:ext cx="9525" cy="9525"/>
    <xdr:pic>
      <xdr:nvPicPr>
        <xdr:cNvPr id="537" name="Picture 536" descr="http://www.abs.gov.au/icons/ecblank.gif">
          <a:extLst>
            <a:ext uri="{FF2B5EF4-FFF2-40B4-BE49-F238E27FC236}">
              <a16:creationId xmlns:a16="http://schemas.microsoft.com/office/drawing/2014/main" id="{03ADB5A8-949E-FD4F-9498-0AA7B1BF41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18</xdr:row>
      <xdr:rowOff>0</xdr:rowOff>
    </xdr:from>
    <xdr:ext cx="9525" cy="9525"/>
    <xdr:pic>
      <xdr:nvPicPr>
        <xdr:cNvPr id="538" name="Picture 537" descr="http://www.abs.gov.au/icons/ecblank.gif">
          <a:extLst>
            <a:ext uri="{FF2B5EF4-FFF2-40B4-BE49-F238E27FC236}">
              <a16:creationId xmlns:a16="http://schemas.microsoft.com/office/drawing/2014/main" id="{211E3E6D-54A0-9F45-B135-8E0003A1F8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18</xdr:row>
      <xdr:rowOff>0</xdr:rowOff>
    </xdr:from>
    <xdr:ext cx="9525" cy="9525"/>
    <xdr:pic>
      <xdr:nvPicPr>
        <xdr:cNvPr id="539" name="Picture 538" descr="http://www.abs.gov.au/icons/ecblank.gif">
          <a:extLst>
            <a:ext uri="{FF2B5EF4-FFF2-40B4-BE49-F238E27FC236}">
              <a16:creationId xmlns:a16="http://schemas.microsoft.com/office/drawing/2014/main" id="{19C50AFD-C8E3-6740-AA20-FB480C7BB5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18</xdr:row>
      <xdr:rowOff>0</xdr:rowOff>
    </xdr:from>
    <xdr:ext cx="9525" cy="9525"/>
    <xdr:pic>
      <xdr:nvPicPr>
        <xdr:cNvPr id="540" name="Picture 539" descr="http://www.abs.gov.au/icons/ecblank.gif">
          <a:extLst>
            <a:ext uri="{FF2B5EF4-FFF2-40B4-BE49-F238E27FC236}">
              <a16:creationId xmlns:a16="http://schemas.microsoft.com/office/drawing/2014/main" id="{78CA0E65-B2B0-274C-89DA-281CA063B6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18</xdr:row>
      <xdr:rowOff>0</xdr:rowOff>
    </xdr:from>
    <xdr:ext cx="9525" cy="9525"/>
    <xdr:pic>
      <xdr:nvPicPr>
        <xdr:cNvPr id="541" name="Picture 540" descr="http://www.abs.gov.au/icons/ecblank.gif">
          <a:extLst>
            <a:ext uri="{FF2B5EF4-FFF2-40B4-BE49-F238E27FC236}">
              <a16:creationId xmlns:a16="http://schemas.microsoft.com/office/drawing/2014/main" id="{1BD68A87-A9FD-0645-9B98-57F79A72A2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18</xdr:row>
      <xdr:rowOff>0</xdr:rowOff>
    </xdr:from>
    <xdr:ext cx="9525" cy="9525"/>
    <xdr:pic>
      <xdr:nvPicPr>
        <xdr:cNvPr id="542" name="Picture 541" descr="http://www.abs.gov.au/icons/ecblank.gif">
          <a:extLst>
            <a:ext uri="{FF2B5EF4-FFF2-40B4-BE49-F238E27FC236}">
              <a16:creationId xmlns:a16="http://schemas.microsoft.com/office/drawing/2014/main" id="{3DE9AAB1-B760-084F-92C7-420F6A1FDC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18</xdr:row>
      <xdr:rowOff>0</xdr:rowOff>
    </xdr:from>
    <xdr:ext cx="9525" cy="9525"/>
    <xdr:pic>
      <xdr:nvPicPr>
        <xdr:cNvPr id="543" name="Picture 542" descr="http://www.abs.gov.au/icons/ecblank.gif">
          <a:extLst>
            <a:ext uri="{FF2B5EF4-FFF2-40B4-BE49-F238E27FC236}">
              <a16:creationId xmlns:a16="http://schemas.microsoft.com/office/drawing/2014/main" id="{746E09A4-DB5B-D64D-A74A-B5106DA6EA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18</xdr:row>
      <xdr:rowOff>0</xdr:rowOff>
    </xdr:from>
    <xdr:ext cx="9525" cy="9525"/>
    <xdr:pic>
      <xdr:nvPicPr>
        <xdr:cNvPr id="544" name="Picture 543" descr="http://www.abs.gov.au/icons/ecblank.gif">
          <a:extLst>
            <a:ext uri="{FF2B5EF4-FFF2-40B4-BE49-F238E27FC236}">
              <a16:creationId xmlns:a16="http://schemas.microsoft.com/office/drawing/2014/main" id="{581E572E-0A72-F649-A928-CA8FCCC7A4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18</xdr:row>
      <xdr:rowOff>0</xdr:rowOff>
    </xdr:from>
    <xdr:ext cx="9525" cy="9525"/>
    <xdr:pic>
      <xdr:nvPicPr>
        <xdr:cNvPr id="545" name="Picture 544" descr="http://www.abs.gov.au/icons/ecblank.gif">
          <a:extLst>
            <a:ext uri="{FF2B5EF4-FFF2-40B4-BE49-F238E27FC236}">
              <a16:creationId xmlns:a16="http://schemas.microsoft.com/office/drawing/2014/main" id="{96EA64EA-D465-3147-92E8-4AE75E3E0A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18</xdr:row>
      <xdr:rowOff>0</xdr:rowOff>
    </xdr:from>
    <xdr:ext cx="9525" cy="9525"/>
    <xdr:pic>
      <xdr:nvPicPr>
        <xdr:cNvPr id="546" name="Picture 545" descr="http://www.abs.gov.au/icons/ecblank.gif">
          <a:extLst>
            <a:ext uri="{FF2B5EF4-FFF2-40B4-BE49-F238E27FC236}">
              <a16:creationId xmlns:a16="http://schemas.microsoft.com/office/drawing/2014/main" id="{4687E09A-6E46-5B42-A9AF-6BCBDB2E86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18</xdr:row>
      <xdr:rowOff>0</xdr:rowOff>
    </xdr:from>
    <xdr:ext cx="9525" cy="9525"/>
    <xdr:pic>
      <xdr:nvPicPr>
        <xdr:cNvPr id="547" name="Picture 546" descr="http://www.abs.gov.au/icons/ecblank.gif">
          <a:extLst>
            <a:ext uri="{FF2B5EF4-FFF2-40B4-BE49-F238E27FC236}">
              <a16:creationId xmlns:a16="http://schemas.microsoft.com/office/drawing/2014/main" id="{44F1A905-C068-A84E-A6B4-E72C9C9D8B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18</xdr:row>
      <xdr:rowOff>0</xdr:rowOff>
    </xdr:from>
    <xdr:ext cx="9525" cy="9525"/>
    <xdr:pic>
      <xdr:nvPicPr>
        <xdr:cNvPr id="548" name="Picture 547" descr="http://www.abs.gov.au/icons/ecblank.gif">
          <a:extLst>
            <a:ext uri="{FF2B5EF4-FFF2-40B4-BE49-F238E27FC236}">
              <a16:creationId xmlns:a16="http://schemas.microsoft.com/office/drawing/2014/main" id="{84FD706B-828B-9841-9DFC-22B177C70BC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18</xdr:row>
      <xdr:rowOff>0</xdr:rowOff>
    </xdr:from>
    <xdr:ext cx="9525" cy="9525"/>
    <xdr:pic>
      <xdr:nvPicPr>
        <xdr:cNvPr id="549" name="Picture 548" descr="http://www.abs.gov.au/icons/ecblank.gif">
          <a:extLst>
            <a:ext uri="{FF2B5EF4-FFF2-40B4-BE49-F238E27FC236}">
              <a16:creationId xmlns:a16="http://schemas.microsoft.com/office/drawing/2014/main" id="{BB8D93D2-8F4A-6646-8FF6-46F83483C2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18</xdr:row>
      <xdr:rowOff>0</xdr:rowOff>
    </xdr:from>
    <xdr:ext cx="9525" cy="9525"/>
    <xdr:pic>
      <xdr:nvPicPr>
        <xdr:cNvPr id="550" name="Picture 549" descr="http://www.abs.gov.au/icons/ecblank.gif">
          <a:extLst>
            <a:ext uri="{FF2B5EF4-FFF2-40B4-BE49-F238E27FC236}">
              <a16:creationId xmlns:a16="http://schemas.microsoft.com/office/drawing/2014/main" id="{F03C3C64-545B-F540-9CEC-BEA6B6343F1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18</xdr:row>
      <xdr:rowOff>0</xdr:rowOff>
    </xdr:from>
    <xdr:ext cx="9525" cy="9525"/>
    <xdr:pic>
      <xdr:nvPicPr>
        <xdr:cNvPr id="551" name="Picture 550" descr="http://www.abs.gov.au/icons/ecblank.gif">
          <a:extLst>
            <a:ext uri="{FF2B5EF4-FFF2-40B4-BE49-F238E27FC236}">
              <a16:creationId xmlns:a16="http://schemas.microsoft.com/office/drawing/2014/main" id="{605D250A-F60C-DB41-B4A3-8BB7FCBE94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18</xdr:row>
      <xdr:rowOff>0</xdr:rowOff>
    </xdr:from>
    <xdr:ext cx="9525" cy="9525"/>
    <xdr:pic>
      <xdr:nvPicPr>
        <xdr:cNvPr id="552" name="Picture 551" descr="http://www.abs.gov.au/icons/ecblank.gif">
          <a:extLst>
            <a:ext uri="{FF2B5EF4-FFF2-40B4-BE49-F238E27FC236}">
              <a16:creationId xmlns:a16="http://schemas.microsoft.com/office/drawing/2014/main" id="{962322CE-1432-ED43-8F30-3544904E2B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18</xdr:row>
      <xdr:rowOff>0</xdr:rowOff>
    </xdr:from>
    <xdr:ext cx="9525" cy="9525"/>
    <xdr:pic>
      <xdr:nvPicPr>
        <xdr:cNvPr id="553" name="Picture 552" descr="http://www.abs.gov.au/icons/ecblank.gif">
          <a:extLst>
            <a:ext uri="{FF2B5EF4-FFF2-40B4-BE49-F238E27FC236}">
              <a16:creationId xmlns:a16="http://schemas.microsoft.com/office/drawing/2014/main" id="{B0B15075-5968-BF4C-896C-152D266DEB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18</xdr:row>
      <xdr:rowOff>0</xdr:rowOff>
    </xdr:from>
    <xdr:ext cx="9525" cy="9525"/>
    <xdr:pic>
      <xdr:nvPicPr>
        <xdr:cNvPr id="554" name="Picture 553" descr="http://www.abs.gov.au/icons/ecblank.gif">
          <a:extLst>
            <a:ext uri="{FF2B5EF4-FFF2-40B4-BE49-F238E27FC236}">
              <a16:creationId xmlns:a16="http://schemas.microsoft.com/office/drawing/2014/main" id="{35BDC239-8917-E043-99B1-04D6BA2967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18</xdr:row>
      <xdr:rowOff>0</xdr:rowOff>
    </xdr:from>
    <xdr:ext cx="9525" cy="9525"/>
    <xdr:pic>
      <xdr:nvPicPr>
        <xdr:cNvPr id="555" name="Picture 554" descr="http://www.abs.gov.au/icons/ecblank.gif">
          <a:extLst>
            <a:ext uri="{FF2B5EF4-FFF2-40B4-BE49-F238E27FC236}">
              <a16:creationId xmlns:a16="http://schemas.microsoft.com/office/drawing/2014/main" id="{9AB7D968-3705-B54A-973D-D3D1926F7C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18</xdr:row>
      <xdr:rowOff>0</xdr:rowOff>
    </xdr:from>
    <xdr:ext cx="9525" cy="9525"/>
    <xdr:pic>
      <xdr:nvPicPr>
        <xdr:cNvPr id="556" name="Picture 555" descr="http://www.abs.gov.au/icons/ecblank.gif">
          <a:extLst>
            <a:ext uri="{FF2B5EF4-FFF2-40B4-BE49-F238E27FC236}">
              <a16:creationId xmlns:a16="http://schemas.microsoft.com/office/drawing/2014/main" id="{33EFBA55-E3FC-D24E-A7B9-8958970A87B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18</xdr:row>
      <xdr:rowOff>0</xdr:rowOff>
    </xdr:from>
    <xdr:ext cx="9525" cy="9525"/>
    <xdr:pic>
      <xdr:nvPicPr>
        <xdr:cNvPr id="557" name="Picture 556" descr="http://www.abs.gov.au/icons/ecblank.gif">
          <a:extLst>
            <a:ext uri="{FF2B5EF4-FFF2-40B4-BE49-F238E27FC236}">
              <a16:creationId xmlns:a16="http://schemas.microsoft.com/office/drawing/2014/main" id="{B0AC5338-F4AB-CB4E-9C60-9A34E0AE71B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18</xdr:row>
      <xdr:rowOff>0</xdr:rowOff>
    </xdr:from>
    <xdr:ext cx="9525" cy="9525"/>
    <xdr:pic>
      <xdr:nvPicPr>
        <xdr:cNvPr id="558" name="Picture 557" descr="http://www.abs.gov.au/icons/ecblank.gif">
          <a:extLst>
            <a:ext uri="{FF2B5EF4-FFF2-40B4-BE49-F238E27FC236}">
              <a16:creationId xmlns:a16="http://schemas.microsoft.com/office/drawing/2014/main" id="{65A80E24-6BB8-6741-B919-B44AC5C215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18</xdr:row>
      <xdr:rowOff>0</xdr:rowOff>
    </xdr:from>
    <xdr:ext cx="9525" cy="9525"/>
    <xdr:pic>
      <xdr:nvPicPr>
        <xdr:cNvPr id="559" name="Picture 558" descr="http://www.abs.gov.au/icons/ecblank.gif">
          <a:extLst>
            <a:ext uri="{FF2B5EF4-FFF2-40B4-BE49-F238E27FC236}">
              <a16:creationId xmlns:a16="http://schemas.microsoft.com/office/drawing/2014/main" id="{43069B9A-3FF9-7A49-B9A4-36E79F2337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18</xdr:row>
      <xdr:rowOff>0</xdr:rowOff>
    </xdr:from>
    <xdr:ext cx="9525" cy="9525"/>
    <xdr:pic>
      <xdr:nvPicPr>
        <xdr:cNvPr id="560" name="Picture 559" descr="http://www.abs.gov.au/icons/ecblank.gif">
          <a:extLst>
            <a:ext uri="{FF2B5EF4-FFF2-40B4-BE49-F238E27FC236}">
              <a16:creationId xmlns:a16="http://schemas.microsoft.com/office/drawing/2014/main" id="{8F6061AF-3CCB-3447-8C6F-B115F10073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18</xdr:row>
      <xdr:rowOff>0</xdr:rowOff>
    </xdr:from>
    <xdr:ext cx="9525" cy="9525"/>
    <xdr:pic>
      <xdr:nvPicPr>
        <xdr:cNvPr id="561" name="Picture 560" descr="http://www.abs.gov.au/icons/ecblank.gif">
          <a:extLst>
            <a:ext uri="{FF2B5EF4-FFF2-40B4-BE49-F238E27FC236}">
              <a16:creationId xmlns:a16="http://schemas.microsoft.com/office/drawing/2014/main" id="{3D80C1C3-ABA4-D24D-8E68-9E31B306DD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18</xdr:row>
      <xdr:rowOff>0</xdr:rowOff>
    </xdr:from>
    <xdr:ext cx="9525" cy="9525"/>
    <xdr:pic>
      <xdr:nvPicPr>
        <xdr:cNvPr id="562" name="Picture 561" descr="http://www.abs.gov.au/icons/ecblank.gif">
          <a:extLst>
            <a:ext uri="{FF2B5EF4-FFF2-40B4-BE49-F238E27FC236}">
              <a16:creationId xmlns:a16="http://schemas.microsoft.com/office/drawing/2014/main" id="{F6F2D361-5FC9-4C46-9984-C3050D57EE5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18</xdr:row>
      <xdr:rowOff>0</xdr:rowOff>
    </xdr:from>
    <xdr:ext cx="9525" cy="9525"/>
    <xdr:pic>
      <xdr:nvPicPr>
        <xdr:cNvPr id="563" name="Picture 562" descr="http://www.abs.gov.au/icons/ecblank.gif">
          <a:extLst>
            <a:ext uri="{FF2B5EF4-FFF2-40B4-BE49-F238E27FC236}">
              <a16:creationId xmlns:a16="http://schemas.microsoft.com/office/drawing/2014/main" id="{F578558D-2F72-D148-965D-34CD2A8286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18</xdr:row>
      <xdr:rowOff>0</xdr:rowOff>
    </xdr:from>
    <xdr:ext cx="9525" cy="9525"/>
    <xdr:pic>
      <xdr:nvPicPr>
        <xdr:cNvPr id="564" name="Picture 563" descr="http://www.abs.gov.au/icons/ecblank.gif">
          <a:extLst>
            <a:ext uri="{FF2B5EF4-FFF2-40B4-BE49-F238E27FC236}">
              <a16:creationId xmlns:a16="http://schemas.microsoft.com/office/drawing/2014/main" id="{E3AB5C65-53D5-B640-8BF8-5556B45AF2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18</xdr:row>
      <xdr:rowOff>0</xdr:rowOff>
    </xdr:from>
    <xdr:ext cx="9525" cy="9525"/>
    <xdr:pic>
      <xdr:nvPicPr>
        <xdr:cNvPr id="565" name="Picture 564" descr="http://www.abs.gov.au/icons/ecblank.gif">
          <a:extLst>
            <a:ext uri="{FF2B5EF4-FFF2-40B4-BE49-F238E27FC236}">
              <a16:creationId xmlns:a16="http://schemas.microsoft.com/office/drawing/2014/main" id="{94552E4D-50F1-FD41-B87B-F0E6BFAAA2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18</xdr:row>
      <xdr:rowOff>0</xdr:rowOff>
    </xdr:from>
    <xdr:ext cx="9525" cy="9525"/>
    <xdr:pic>
      <xdr:nvPicPr>
        <xdr:cNvPr id="566" name="Picture 565" descr="http://www.abs.gov.au/icons/ecblank.gif">
          <a:extLst>
            <a:ext uri="{FF2B5EF4-FFF2-40B4-BE49-F238E27FC236}">
              <a16:creationId xmlns:a16="http://schemas.microsoft.com/office/drawing/2014/main" id="{AB28FCAE-2917-1746-A4DE-46BA72AE2FD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18</xdr:row>
      <xdr:rowOff>0</xdr:rowOff>
    </xdr:from>
    <xdr:ext cx="9525" cy="9525"/>
    <xdr:pic>
      <xdr:nvPicPr>
        <xdr:cNvPr id="567" name="Picture 566" descr="http://www.abs.gov.au/icons/ecblank.gif">
          <a:extLst>
            <a:ext uri="{FF2B5EF4-FFF2-40B4-BE49-F238E27FC236}">
              <a16:creationId xmlns:a16="http://schemas.microsoft.com/office/drawing/2014/main" id="{66606CF4-2173-4141-95A1-DCBE0E3C6B6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18</xdr:row>
      <xdr:rowOff>0</xdr:rowOff>
    </xdr:from>
    <xdr:ext cx="9525" cy="9525"/>
    <xdr:pic>
      <xdr:nvPicPr>
        <xdr:cNvPr id="568" name="Picture 567" descr="http://www.abs.gov.au/icons/ecblank.gif">
          <a:extLst>
            <a:ext uri="{FF2B5EF4-FFF2-40B4-BE49-F238E27FC236}">
              <a16:creationId xmlns:a16="http://schemas.microsoft.com/office/drawing/2014/main" id="{80BB30FE-ABB5-C947-B79A-DC3036EAB0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18</xdr:row>
      <xdr:rowOff>0</xdr:rowOff>
    </xdr:from>
    <xdr:ext cx="9525" cy="9525"/>
    <xdr:pic>
      <xdr:nvPicPr>
        <xdr:cNvPr id="569" name="Picture 568" descr="http://www.abs.gov.au/icons/ecblank.gif">
          <a:extLst>
            <a:ext uri="{FF2B5EF4-FFF2-40B4-BE49-F238E27FC236}">
              <a16:creationId xmlns:a16="http://schemas.microsoft.com/office/drawing/2014/main" id="{758273DD-2B2F-A54A-9759-A1CD5D3A5B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18</xdr:row>
      <xdr:rowOff>0</xdr:rowOff>
    </xdr:from>
    <xdr:ext cx="9525" cy="9525"/>
    <xdr:pic>
      <xdr:nvPicPr>
        <xdr:cNvPr id="570" name="Picture 569" descr="http://www.abs.gov.au/icons/ecblank.gif">
          <a:extLst>
            <a:ext uri="{FF2B5EF4-FFF2-40B4-BE49-F238E27FC236}">
              <a16:creationId xmlns:a16="http://schemas.microsoft.com/office/drawing/2014/main" id="{697CC529-697C-A64A-926C-733E3C9669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18</xdr:row>
      <xdr:rowOff>0</xdr:rowOff>
    </xdr:from>
    <xdr:ext cx="9525" cy="9525"/>
    <xdr:pic>
      <xdr:nvPicPr>
        <xdr:cNvPr id="571" name="Picture 570" descr="http://www.abs.gov.au/icons/ecblank.gif">
          <a:extLst>
            <a:ext uri="{FF2B5EF4-FFF2-40B4-BE49-F238E27FC236}">
              <a16:creationId xmlns:a16="http://schemas.microsoft.com/office/drawing/2014/main" id="{E1C273EE-75D1-624D-8DFC-4539E95F16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18</xdr:row>
      <xdr:rowOff>0</xdr:rowOff>
    </xdr:from>
    <xdr:ext cx="9525" cy="9525"/>
    <xdr:pic>
      <xdr:nvPicPr>
        <xdr:cNvPr id="572" name="Picture 571" descr="http://www.abs.gov.au/icons/ecblank.gif">
          <a:extLst>
            <a:ext uri="{FF2B5EF4-FFF2-40B4-BE49-F238E27FC236}">
              <a16:creationId xmlns:a16="http://schemas.microsoft.com/office/drawing/2014/main" id="{975E1636-2A0F-E64A-BE46-2DA1905F8E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18</xdr:row>
      <xdr:rowOff>0</xdr:rowOff>
    </xdr:from>
    <xdr:ext cx="9525" cy="9525"/>
    <xdr:pic>
      <xdr:nvPicPr>
        <xdr:cNvPr id="573" name="Picture 572" descr="http://www.abs.gov.au/icons/ecblank.gif">
          <a:extLst>
            <a:ext uri="{FF2B5EF4-FFF2-40B4-BE49-F238E27FC236}">
              <a16:creationId xmlns:a16="http://schemas.microsoft.com/office/drawing/2014/main" id="{537054BF-7672-F440-9FA9-644CD17145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18</xdr:row>
      <xdr:rowOff>0</xdr:rowOff>
    </xdr:from>
    <xdr:ext cx="9525" cy="9525"/>
    <xdr:pic>
      <xdr:nvPicPr>
        <xdr:cNvPr id="574" name="Picture 573" descr="http://www.abs.gov.au/icons/ecblank.gif">
          <a:extLst>
            <a:ext uri="{FF2B5EF4-FFF2-40B4-BE49-F238E27FC236}">
              <a16:creationId xmlns:a16="http://schemas.microsoft.com/office/drawing/2014/main" id="{4B386F55-92DA-084B-81A0-BA866E2BE2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18</xdr:row>
      <xdr:rowOff>0</xdr:rowOff>
    </xdr:from>
    <xdr:ext cx="9525" cy="9525"/>
    <xdr:pic>
      <xdr:nvPicPr>
        <xdr:cNvPr id="575" name="Picture 574" descr="http://www.abs.gov.au/icons/ecblank.gif">
          <a:extLst>
            <a:ext uri="{FF2B5EF4-FFF2-40B4-BE49-F238E27FC236}">
              <a16:creationId xmlns:a16="http://schemas.microsoft.com/office/drawing/2014/main" id="{88362EA3-9A51-2C43-BFB5-DA25F994C7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18</xdr:row>
      <xdr:rowOff>0</xdr:rowOff>
    </xdr:from>
    <xdr:ext cx="9525" cy="9525"/>
    <xdr:pic>
      <xdr:nvPicPr>
        <xdr:cNvPr id="576" name="Picture 575" descr="http://www.abs.gov.au/icons/ecblank.gif">
          <a:extLst>
            <a:ext uri="{FF2B5EF4-FFF2-40B4-BE49-F238E27FC236}">
              <a16:creationId xmlns:a16="http://schemas.microsoft.com/office/drawing/2014/main" id="{67E0AC40-B62F-2342-A72E-1BD3550BDE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18</xdr:row>
      <xdr:rowOff>0</xdr:rowOff>
    </xdr:from>
    <xdr:ext cx="9525" cy="9525"/>
    <xdr:pic>
      <xdr:nvPicPr>
        <xdr:cNvPr id="577" name="Picture 576" descr="http://www.abs.gov.au/icons/ecblank.gif">
          <a:extLst>
            <a:ext uri="{FF2B5EF4-FFF2-40B4-BE49-F238E27FC236}">
              <a16:creationId xmlns:a16="http://schemas.microsoft.com/office/drawing/2014/main" id="{03FD69EE-EE32-8D40-B0AE-8B570F9964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18</xdr:row>
      <xdr:rowOff>0</xdr:rowOff>
    </xdr:from>
    <xdr:ext cx="9525" cy="9525"/>
    <xdr:pic>
      <xdr:nvPicPr>
        <xdr:cNvPr id="578" name="Picture 577" descr="http://www.abs.gov.au/icons/ecblank.gif">
          <a:extLst>
            <a:ext uri="{FF2B5EF4-FFF2-40B4-BE49-F238E27FC236}">
              <a16:creationId xmlns:a16="http://schemas.microsoft.com/office/drawing/2014/main" id="{9ED1B40A-BA90-B94B-B1C5-177FC672C7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18</xdr:row>
      <xdr:rowOff>0</xdr:rowOff>
    </xdr:from>
    <xdr:ext cx="9525" cy="9525"/>
    <xdr:pic>
      <xdr:nvPicPr>
        <xdr:cNvPr id="579" name="Picture 578" descr="http://www.abs.gov.au/icons/ecblank.gif">
          <a:extLst>
            <a:ext uri="{FF2B5EF4-FFF2-40B4-BE49-F238E27FC236}">
              <a16:creationId xmlns:a16="http://schemas.microsoft.com/office/drawing/2014/main" id="{BC7B31B1-D5B6-2049-A8B2-7146B08EA7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18</xdr:row>
      <xdr:rowOff>0</xdr:rowOff>
    </xdr:from>
    <xdr:ext cx="9525" cy="9525"/>
    <xdr:pic>
      <xdr:nvPicPr>
        <xdr:cNvPr id="580" name="Picture 579" descr="http://www.abs.gov.au/icons/ecblank.gif">
          <a:extLst>
            <a:ext uri="{FF2B5EF4-FFF2-40B4-BE49-F238E27FC236}">
              <a16:creationId xmlns:a16="http://schemas.microsoft.com/office/drawing/2014/main" id="{FBE28757-40D7-3140-96AF-FC60C83BA88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18</xdr:row>
      <xdr:rowOff>0</xdr:rowOff>
    </xdr:from>
    <xdr:ext cx="9525" cy="9525"/>
    <xdr:pic>
      <xdr:nvPicPr>
        <xdr:cNvPr id="581" name="Picture 580" descr="http://www.abs.gov.au/icons/ecblank.gif">
          <a:extLst>
            <a:ext uri="{FF2B5EF4-FFF2-40B4-BE49-F238E27FC236}">
              <a16:creationId xmlns:a16="http://schemas.microsoft.com/office/drawing/2014/main" id="{F02EB75A-6068-B842-8381-CC2D2413F71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18</xdr:row>
      <xdr:rowOff>0</xdr:rowOff>
    </xdr:from>
    <xdr:ext cx="9525" cy="9525"/>
    <xdr:pic>
      <xdr:nvPicPr>
        <xdr:cNvPr id="582" name="Picture 581" descr="http://www.abs.gov.au/icons/ecblank.gif">
          <a:extLst>
            <a:ext uri="{FF2B5EF4-FFF2-40B4-BE49-F238E27FC236}">
              <a16:creationId xmlns:a16="http://schemas.microsoft.com/office/drawing/2014/main" id="{F056098B-5F0F-624C-8B43-1ABD5ACD95C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18</xdr:row>
      <xdr:rowOff>0</xdr:rowOff>
    </xdr:from>
    <xdr:ext cx="9525" cy="9525"/>
    <xdr:pic>
      <xdr:nvPicPr>
        <xdr:cNvPr id="583" name="Picture 582" descr="http://www.abs.gov.au/icons/ecblank.gif">
          <a:extLst>
            <a:ext uri="{FF2B5EF4-FFF2-40B4-BE49-F238E27FC236}">
              <a16:creationId xmlns:a16="http://schemas.microsoft.com/office/drawing/2014/main" id="{D8644A93-D3EC-864A-BE14-971AFAB6AC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18</xdr:row>
      <xdr:rowOff>0</xdr:rowOff>
    </xdr:from>
    <xdr:ext cx="9525" cy="9525"/>
    <xdr:pic>
      <xdr:nvPicPr>
        <xdr:cNvPr id="584" name="Picture 583" descr="http://www.abs.gov.au/icons/ecblank.gif">
          <a:extLst>
            <a:ext uri="{FF2B5EF4-FFF2-40B4-BE49-F238E27FC236}">
              <a16:creationId xmlns:a16="http://schemas.microsoft.com/office/drawing/2014/main" id="{199998FC-C130-5742-ABE5-5FFC6DC7FF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18</xdr:row>
      <xdr:rowOff>0</xdr:rowOff>
    </xdr:from>
    <xdr:ext cx="9525" cy="9525"/>
    <xdr:pic>
      <xdr:nvPicPr>
        <xdr:cNvPr id="585" name="Picture 584" descr="http://www.abs.gov.au/icons/ecblank.gif">
          <a:extLst>
            <a:ext uri="{FF2B5EF4-FFF2-40B4-BE49-F238E27FC236}">
              <a16:creationId xmlns:a16="http://schemas.microsoft.com/office/drawing/2014/main" id="{CC07FC0F-8A95-BB40-9D1D-62F4B0EFAF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18</xdr:row>
      <xdr:rowOff>0</xdr:rowOff>
    </xdr:from>
    <xdr:ext cx="9525" cy="9525"/>
    <xdr:pic>
      <xdr:nvPicPr>
        <xdr:cNvPr id="586" name="Picture 585" descr="http://www.abs.gov.au/icons/ecblank.gif">
          <a:extLst>
            <a:ext uri="{FF2B5EF4-FFF2-40B4-BE49-F238E27FC236}">
              <a16:creationId xmlns:a16="http://schemas.microsoft.com/office/drawing/2014/main" id="{5843B961-2F6A-5144-9898-63BBB70CF2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18</xdr:row>
      <xdr:rowOff>0</xdr:rowOff>
    </xdr:from>
    <xdr:ext cx="9525" cy="9525"/>
    <xdr:pic>
      <xdr:nvPicPr>
        <xdr:cNvPr id="587" name="Picture 586" descr="http://www.abs.gov.au/icons/ecblank.gif">
          <a:extLst>
            <a:ext uri="{FF2B5EF4-FFF2-40B4-BE49-F238E27FC236}">
              <a16:creationId xmlns:a16="http://schemas.microsoft.com/office/drawing/2014/main" id="{9EB269B2-46C6-C640-B033-62A5A9B210B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18</xdr:row>
      <xdr:rowOff>0</xdr:rowOff>
    </xdr:from>
    <xdr:ext cx="9525" cy="9525"/>
    <xdr:pic>
      <xdr:nvPicPr>
        <xdr:cNvPr id="588" name="Picture 587" descr="http://www.abs.gov.au/icons/ecblank.gif">
          <a:extLst>
            <a:ext uri="{FF2B5EF4-FFF2-40B4-BE49-F238E27FC236}">
              <a16:creationId xmlns:a16="http://schemas.microsoft.com/office/drawing/2014/main" id="{7421B78F-CAB1-5F42-843A-3221D6EC1B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18</xdr:row>
      <xdr:rowOff>0</xdr:rowOff>
    </xdr:from>
    <xdr:ext cx="9525" cy="9525"/>
    <xdr:pic>
      <xdr:nvPicPr>
        <xdr:cNvPr id="589" name="Picture 588" descr="http://www.abs.gov.au/icons/ecblank.gif">
          <a:extLst>
            <a:ext uri="{FF2B5EF4-FFF2-40B4-BE49-F238E27FC236}">
              <a16:creationId xmlns:a16="http://schemas.microsoft.com/office/drawing/2014/main" id="{B51F7B20-5408-F54C-9449-AD5BD9AA896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18</xdr:row>
      <xdr:rowOff>0</xdr:rowOff>
    </xdr:from>
    <xdr:ext cx="9525" cy="9525"/>
    <xdr:pic>
      <xdr:nvPicPr>
        <xdr:cNvPr id="590" name="Picture 589" descr="http://www.abs.gov.au/icons/ecblank.gif">
          <a:extLst>
            <a:ext uri="{FF2B5EF4-FFF2-40B4-BE49-F238E27FC236}">
              <a16:creationId xmlns:a16="http://schemas.microsoft.com/office/drawing/2014/main" id="{B7D474D6-880D-C143-9A9F-33A3BF3331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18</xdr:row>
      <xdr:rowOff>0</xdr:rowOff>
    </xdr:from>
    <xdr:ext cx="9525" cy="9525"/>
    <xdr:pic>
      <xdr:nvPicPr>
        <xdr:cNvPr id="591" name="Picture 590" descr="http://www.abs.gov.au/icons/ecblank.gif">
          <a:extLst>
            <a:ext uri="{FF2B5EF4-FFF2-40B4-BE49-F238E27FC236}">
              <a16:creationId xmlns:a16="http://schemas.microsoft.com/office/drawing/2014/main" id="{8017D427-7863-1641-AEB2-D76460E374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18</xdr:row>
      <xdr:rowOff>0</xdr:rowOff>
    </xdr:from>
    <xdr:ext cx="9525" cy="9525"/>
    <xdr:pic>
      <xdr:nvPicPr>
        <xdr:cNvPr id="592" name="Picture 591" descr="http://www.abs.gov.au/icons/ecblank.gif">
          <a:extLst>
            <a:ext uri="{FF2B5EF4-FFF2-40B4-BE49-F238E27FC236}">
              <a16:creationId xmlns:a16="http://schemas.microsoft.com/office/drawing/2014/main" id="{F8D16222-3FCF-E443-A131-3FB34AA748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18</xdr:row>
      <xdr:rowOff>0</xdr:rowOff>
    </xdr:from>
    <xdr:ext cx="9525" cy="9525"/>
    <xdr:pic>
      <xdr:nvPicPr>
        <xdr:cNvPr id="593" name="Picture 592" descr="http://www.abs.gov.au/icons/ecblank.gif">
          <a:extLst>
            <a:ext uri="{FF2B5EF4-FFF2-40B4-BE49-F238E27FC236}">
              <a16:creationId xmlns:a16="http://schemas.microsoft.com/office/drawing/2014/main" id="{50BF3F91-2392-E843-93F6-5603CB5703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18</xdr:row>
      <xdr:rowOff>0</xdr:rowOff>
    </xdr:from>
    <xdr:ext cx="9525" cy="9525"/>
    <xdr:pic>
      <xdr:nvPicPr>
        <xdr:cNvPr id="594" name="Picture 593" descr="http://www.abs.gov.au/icons/ecblank.gif">
          <a:extLst>
            <a:ext uri="{FF2B5EF4-FFF2-40B4-BE49-F238E27FC236}">
              <a16:creationId xmlns:a16="http://schemas.microsoft.com/office/drawing/2014/main" id="{0FBF8D36-3988-4C44-9C84-5EE1E84A2B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18</xdr:row>
      <xdr:rowOff>0</xdr:rowOff>
    </xdr:from>
    <xdr:ext cx="9525" cy="9525"/>
    <xdr:pic>
      <xdr:nvPicPr>
        <xdr:cNvPr id="595" name="Picture 594" descr="http://www.abs.gov.au/icons/ecblank.gif">
          <a:extLst>
            <a:ext uri="{FF2B5EF4-FFF2-40B4-BE49-F238E27FC236}">
              <a16:creationId xmlns:a16="http://schemas.microsoft.com/office/drawing/2014/main" id="{BA8FE289-9B9D-064B-9100-ED56084CF5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18</xdr:row>
      <xdr:rowOff>0</xdr:rowOff>
    </xdr:from>
    <xdr:ext cx="9525" cy="9525"/>
    <xdr:pic>
      <xdr:nvPicPr>
        <xdr:cNvPr id="596" name="Picture 595" descr="http://www.abs.gov.au/icons/ecblank.gif">
          <a:extLst>
            <a:ext uri="{FF2B5EF4-FFF2-40B4-BE49-F238E27FC236}">
              <a16:creationId xmlns:a16="http://schemas.microsoft.com/office/drawing/2014/main" id="{CF7F6B46-92D7-9D4F-9188-35817A82CE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18</xdr:row>
      <xdr:rowOff>0</xdr:rowOff>
    </xdr:from>
    <xdr:ext cx="9525" cy="9525"/>
    <xdr:pic>
      <xdr:nvPicPr>
        <xdr:cNvPr id="597" name="Picture 596" descr="http://www.abs.gov.au/icons/ecblank.gif">
          <a:extLst>
            <a:ext uri="{FF2B5EF4-FFF2-40B4-BE49-F238E27FC236}">
              <a16:creationId xmlns:a16="http://schemas.microsoft.com/office/drawing/2014/main" id="{E3617432-CAE9-BD47-809A-7AFA6F78FF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18</xdr:row>
      <xdr:rowOff>0</xdr:rowOff>
    </xdr:from>
    <xdr:ext cx="9525" cy="9525"/>
    <xdr:pic>
      <xdr:nvPicPr>
        <xdr:cNvPr id="598" name="Picture 597" descr="http://www.abs.gov.au/icons/ecblank.gif">
          <a:extLst>
            <a:ext uri="{FF2B5EF4-FFF2-40B4-BE49-F238E27FC236}">
              <a16:creationId xmlns:a16="http://schemas.microsoft.com/office/drawing/2014/main" id="{4DE76BB9-B0F2-3343-B227-D2E5CF1F6E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18</xdr:row>
      <xdr:rowOff>0</xdr:rowOff>
    </xdr:from>
    <xdr:ext cx="9525" cy="9525"/>
    <xdr:pic>
      <xdr:nvPicPr>
        <xdr:cNvPr id="599" name="Picture 598" descr="http://www.abs.gov.au/icons/ecblank.gif">
          <a:extLst>
            <a:ext uri="{FF2B5EF4-FFF2-40B4-BE49-F238E27FC236}">
              <a16:creationId xmlns:a16="http://schemas.microsoft.com/office/drawing/2014/main" id="{5F9C6CD6-1EF6-5B4D-BA37-4199D09CD2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18</xdr:row>
      <xdr:rowOff>0</xdr:rowOff>
    </xdr:from>
    <xdr:ext cx="9525" cy="9525"/>
    <xdr:pic>
      <xdr:nvPicPr>
        <xdr:cNvPr id="600" name="Picture 599" descr="http://www.abs.gov.au/icons/ecblank.gif">
          <a:extLst>
            <a:ext uri="{FF2B5EF4-FFF2-40B4-BE49-F238E27FC236}">
              <a16:creationId xmlns:a16="http://schemas.microsoft.com/office/drawing/2014/main" id="{B3FD7067-413F-E244-A0EF-2A96B27458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18</xdr:row>
      <xdr:rowOff>0</xdr:rowOff>
    </xdr:from>
    <xdr:ext cx="9525" cy="9525"/>
    <xdr:pic>
      <xdr:nvPicPr>
        <xdr:cNvPr id="601" name="Picture 600" descr="http://www.abs.gov.au/icons/ecblank.gif">
          <a:extLst>
            <a:ext uri="{FF2B5EF4-FFF2-40B4-BE49-F238E27FC236}">
              <a16:creationId xmlns:a16="http://schemas.microsoft.com/office/drawing/2014/main" id="{062065E0-AEFA-BB47-BF3E-0CD4C1D2FD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18</xdr:row>
      <xdr:rowOff>0</xdr:rowOff>
    </xdr:from>
    <xdr:ext cx="9525" cy="9525"/>
    <xdr:pic>
      <xdr:nvPicPr>
        <xdr:cNvPr id="602" name="Picture 601" descr="http://www.abs.gov.au/icons/ecblank.gif">
          <a:extLst>
            <a:ext uri="{FF2B5EF4-FFF2-40B4-BE49-F238E27FC236}">
              <a16:creationId xmlns:a16="http://schemas.microsoft.com/office/drawing/2014/main" id="{7B6A72FA-1933-4849-B9DB-DEA7125E15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18</xdr:row>
      <xdr:rowOff>0</xdr:rowOff>
    </xdr:from>
    <xdr:ext cx="9525" cy="9525"/>
    <xdr:pic>
      <xdr:nvPicPr>
        <xdr:cNvPr id="603" name="Picture 602" descr="http://www.abs.gov.au/icons/ecblank.gif">
          <a:extLst>
            <a:ext uri="{FF2B5EF4-FFF2-40B4-BE49-F238E27FC236}">
              <a16:creationId xmlns:a16="http://schemas.microsoft.com/office/drawing/2014/main" id="{0C6CE234-8FF3-AB4E-9228-8034622F68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18</xdr:row>
      <xdr:rowOff>0</xdr:rowOff>
    </xdr:from>
    <xdr:ext cx="9525" cy="9525"/>
    <xdr:pic>
      <xdr:nvPicPr>
        <xdr:cNvPr id="604" name="Picture 603" descr="http://www.abs.gov.au/icons/ecblank.gif">
          <a:extLst>
            <a:ext uri="{FF2B5EF4-FFF2-40B4-BE49-F238E27FC236}">
              <a16:creationId xmlns:a16="http://schemas.microsoft.com/office/drawing/2014/main" id="{1F1A980D-8BD6-FB46-86E3-7482BD12E0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18</xdr:row>
      <xdr:rowOff>0</xdr:rowOff>
    </xdr:from>
    <xdr:ext cx="9525" cy="9525"/>
    <xdr:pic>
      <xdr:nvPicPr>
        <xdr:cNvPr id="605" name="Picture 604" descr="http://www.abs.gov.au/icons/ecblank.gif">
          <a:extLst>
            <a:ext uri="{FF2B5EF4-FFF2-40B4-BE49-F238E27FC236}">
              <a16:creationId xmlns:a16="http://schemas.microsoft.com/office/drawing/2014/main" id="{B3A14290-8290-4648-BDD8-2A4B7CEB1E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18</xdr:row>
      <xdr:rowOff>0</xdr:rowOff>
    </xdr:from>
    <xdr:ext cx="9525" cy="9525"/>
    <xdr:pic>
      <xdr:nvPicPr>
        <xdr:cNvPr id="606" name="Picture 605" descr="http://www.abs.gov.au/icons/ecblank.gif">
          <a:extLst>
            <a:ext uri="{FF2B5EF4-FFF2-40B4-BE49-F238E27FC236}">
              <a16:creationId xmlns:a16="http://schemas.microsoft.com/office/drawing/2014/main" id="{3D8169B4-1F28-6144-ACEF-C3A6B45902E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18</xdr:row>
      <xdr:rowOff>0</xdr:rowOff>
    </xdr:from>
    <xdr:ext cx="9525" cy="9525"/>
    <xdr:pic>
      <xdr:nvPicPr>
        <xdr:cNvPr id="607" name="Picture 606" descr="http://www.abs.gov.au/icons/ecblank.gif">
          <a:extLst>
            <a:ext uri="{FF2B5EF4-FFF2-40B4-BE49-F238E27FC236}">
              <a16:creationId xmlns:a16="http://schemas.microsoft.com/office/drawing/2014/main" id="{BC908522-3290-9F4C-B30D-E5BD57EA55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18</xdr:row>
      <xdr:rowOff>0</xdr:rowOff>
    </xdr:from>
    <xdr:ext cx="9525" cy="9525"/>
    <xdr:pic>
      <xdr:nvPicPr>
        <xdr:cNvPr id="608" name="Picture 607" descr="http://www.abs.gov.au/icons/ecblank.gif">
          <a:extLst>
            <a:ext uri="{FF2B5EF4-FFF2-40B4-BE49-F238E27FC236}">
              <a16:creationId xmlns:a16="http://schemas.microsoft.com/office/drawing/2014/main" id="{2FD1BCAE-0C6A-BB4E-A67F-D4CBA4327E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18</xdr:row>
      <xdr:rowOff>0</xdr:rowOff>
    </xdr:from>
    <xdr:ext cx="9525" cy="9525"/>
    <xdr:pic>
      <xdr:nvPicPr>
        <xdr:cNvPr id="609" name="Picture 608" descr="http://www.abs.gov.au/icons/ecblank.gif">
          <a:extLst>
            <a:ext uri="{FF2B5EF4-FFF2-40B4-BE49-F238E27FC236}">
              <a16:creationId xmlns:a16="http://schemas.microsoft.com/office/drawing/2014/main" id="{F0C3D42C-2C84-5A46-B4DF-5F941CC33C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18</xdr:row>
      <xdr:rowOff>0</xdr:rowOff>
    </xdr:from>
    <xdr:ext cx="9525" cy="9525"/>
    <xdr:pic>
      <xdr:nvPicPr>
        <xdr:cNvPr id="610" name="Picture 609" descr="http://www.abs.gov.au/icons/ecblank.gif">
          <a:extLst>
            <a:ext uri="{FF2B5EF4-FFF2-40B4-BE49-F238E27FC236}">
              <a16:creationId xmlns:a16="http://schemas.microsoft.com/office/drawing/2014/main" id="{A1D1316B-213D-2E4F-B06B-F786DFA210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18</xdr:row>
      <xdr:rowOff>0</xdr:rowOff>
    </xdr:from>
    <xdr:ext cx="9525" cy="9525"/>
    <xdr:pic>
      <xdr:nvPicPr>
        <xdr:cNvPr id="611" name="Picture 610" descr="http://www.abs.gov.au/icons/ecblank.gif">
          <a:extLst>
            <a:ext uri="{FF2B5EF4-FFF2-40B4-BE49-F238E27FC236}">
              <a16:creationId xmlns:a16="http://schemas.microsoft.com/office/drawing/2014/main" id="{39A93862-3114-D24F-8FC1-D6A6C06F29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18</xdr:row>
      <xdr:rowOff>0</xdr:rowOff>
    </xdr:from>
    <xdr:ext cx="9525" cy="9525"/>
    <xdr:pic>
      <xdr:nvPicPr>
        <xdr:cNvPr id="612" name="Picture 611" descr="http://www.abs.gov.au/icons/ecblank.gif">
          <a:extLst>
            <a:ext uri="{FF2B5EF4-FFF2-40B4-BE49-F238E27FC236}">
              <a16:creationId xmlns:a16="http://schemas.microsoft.com/office/drawing/2014/main" id="{F18A9FEA-9030-C34F-A1EF-BBAF386846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18</xdr:row>
      <xdr:rowOff>0</xdr:rowOff>
    </xdr:from>
    <xdr:ext cx="9525" cy="9525"/>
    <xdr:pic>
      <xdr:nvPicPr>
        <xdr:cNvPr id="613" name="Picture 612" descr="http://www.abs.gov.au/icons/ecblank.gif">
          <a:extLst>
            <a:ext uri="{FF2B5EF4-FFF2-40B4-BE49-F238E27FC236}">
              <a16:creationId xmlns:a16="http://schemas.microsoft.com/office/drawing/2014/main" id="{BCE549F3-79D9-FD4F-8CE2-3658CEF7BD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18</xdr:row>
      <xdr:rowOff>0</xdr:rowOff>
    </xdr:from>
    <xdr:ext cx="9525" cy="9525"/>
    <xdr:pic>
      <xdr:nvPicPr>
        <xdr:cNvPr id="614" name="Picture 613" descr="http://www.abs.gov.au/icons/ecblank.gif">
          <a:extLst>
            <a:ext uri="{FF2B5EF4-FFF2-40B4-BE49-F238E27FC236}">
              <a16:creationId xmlns:a16="http://schemas.microsoft.com/office/drawing/2014/main" id="{EABED859-2EE1-7840-B4DD-2FD0A194FC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18</xdr:row>
      <xdr:rowOff>0</xdr:rowOff>
    </xdr:from>
    <xdr:ext cx="9525" cy="9525"/>
    <xdr:pic>
      <xdr:nvPicPr>
        <xdr:cNvPr id="615" name="Picture 614" descr="http://www.abs.gov.au/icons/ecblank.gif">
          <a:extLst>
            <a:ext uri="{FF2B5EF4-FFF2-40B4-BE49-F238E27FC236}">
              <a16:creationId xmlns:a16="http://schemas.microsoft.com/office/drawing/2014/main" id="{BFDA0173-0581-A843-8400-7E0AAEC15F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18</xdr:row>
      <xdr:rowOff>0</xdr:rowOff>
    </xdr:from>
    <xdr:ext cx="9525" cy="9525"/>
    <xdr:pic>
      <xdr:nvPicPr>
        <xdr:cNvPr id="616" name="Picture 615" descr="http://www.abs.gov.au/icons/ecblank.gif">
          <a:extLst>
            <a:ext uri="{FF2B5EF4-FFF2-40B4-BE49-F238E27FC236}">
              <a16:creationId xmlns:a16="http://schemas.microsoft.com/office/drawing/2014/main" id="{B44D84CC-CA6A-FF44-B944-FF509FC477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18</xdr:row>
      <xdr:rowOff>0</xdr:rowOff>
    </xdr:from>
    <xdr:ext cx="9525" cy="9525"/>
    <xdr:pic>
      <xdr:nvPicPr>
        <xdr:cNvPr id="617" name="Picture 616" descr="http://www.abs.gov.au/icons/ecblank.gif">
          <a:extLst>
            <a:ext uri="{FF2B5EF4-FFF2-40B4-BE49-F238E27FC236}">
              <a16:creationId xmlns:a16="http://schemas.microsoft.com/office/drawing/2014/main" id="{D44A1CAF-396C-2247-9BCF-68C49ACBD1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18</xdr:row>
      <xdr:rowOff>0</xdr:rowOff>
    </xdr:from>
    <xdr:ext cx="9525" cy="9525"/>
    <xdr:pic>
      <xdr:nvPicPr>
        <xdr:cNvPr id="618" name="Picture 617" descr="http://www.abs.gov.au/icons/ecblank.gif">
          <a:extLst>
            <a:ext uri="{FF2B5EF4-FFF2-40B4-BE49-F238E27FC236}">
              <a16:creationId xmlns:a16="http://schemas.microsoft.com/office/drawing/2014/main" id="{9B5B241C-5801-BD44-A690-9709A645D1D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20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18</xdr:row>
      <xdr:rowOff>0</xdr:rowOff>
    </xdr:from>
    <xdr:ext cx="9525" cy="9525"/>
    <xdr:pic>
      <xdr:nvPicPr>
        <xdr:cNvPr id="619" name="Picture 618" descr="http://www.abs.gov.au/icons/ecblank.gif">
          <a:extLst>
            <a:ext uri="{FF2B5EF4-FFF2-40B4-BE49-F238E27FC236}">
              <a16:creationId xmlns:a16="http://schemas.microsoft.com/office/drawing/2014/main" id="{68FABFA2-390A-9744-A761-C6E4524955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18</xdr:row>
      <xdr:rowOff>0</xdr:rowOff>
    </xdr:from>
    <xdr:ext cx="9525" cy="9525"/>
    <xdr:pic>
      <xdr:nvPicPr>
        <xdr:cNvPr id="620" name="Picture 619" descr="http://www.abs.gov.au/icons/ecblank.gif">
          <a:extLst>
            <a:ext uri="{FF2B5EF4-FFF2-40B4-BE49-F238E27FC236}">
              <a16:creationId xmlns:a16="http://schemas.microsoft.com/office/drawing/2014/main" id="{6675DD30-8BBC-8648-A911-CC545C6609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18</xdr:row>
      <xdr:rowOff>0</xdr:rowOff>
    </xdr:from>
    <xdr:ext cx="9525" cy="9525"/>
    <xdr:pic>
      <xdr:nvPicPr>
        <xdr:cNvPr id="621" name="Picture 620" descr="http://www.abs.gov.au/icons/ecblank.gif">
          <a:extLst>
            <a:ext uri="{FF2B5EF4-FFF2-40B4-BE49-F238E27FC236}">
              <a16:creationId xmlns:a16="http://schemas.microsoft.com/office/drawing/2014/main" id="{CDCE584C-4B24-7946-96F7-C6FCA8F579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1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18</xdr:row>
      <xdr:rowOff>0</xdr:rowOff>
    </xdr:from>
    <xdr:ext cx="9525" cy="9525"/>
    <xdr:pic>
      <xdr:nvPicPr>
        <xdr:cNvPr id="622" name="Picture 621" descr="http://www.abs.gov.au/icons/ecblank.gif">
          <a:extLst>
            <a:ext uri="{FF2B5EF4-FFF2-40B4-BE49-F238E27FC236}">
              <a16:creationId xmlns:a16="http://schemas.microsoft.com/office/drawing/2014/main" id="{B1FD3C23-3199-E942-B41E-645D2AD27A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634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18</xdr:row>
      <xdr:rowOff>0</xdr:rowOff>
    </xdr:from>
    <xdr:ext cx="9525" cy="9525"/>
    <xdr:pic>
      <xdr:nvPicPr>
        <xdr:cNvPr id="623" name="Picture 622" descr="http://www.abs.gov.au/icons/ecblank.gif">
          <a:extLst>
            <a:ext uri="{FF2B5EF4-FFF2-40B4-BE49-F238E27FC236}">
              <a16:creationId xmlns:a16="http://schemas.microsoft.com/office/drawing/2014/main" id="{07C39A08-19DF-834C-BEB8-505D046FDE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634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18</xdr:row>
      <xdr:rowOff>0</xdr:rowOff>
    </xdr:from>
    <xdr:ext cx="9525" cy="9525"/>
    <xdr:pic>
      <xdr:nvPicPr>
        <xdr:cNvPr id="624" name="Picture 623" descr="http://www.abs.gov.au/icons/ecblank.gif">
          <a:extLst>
            <a:ext uri="{FF2B5EF4-FFF2-40B4-BE49-F238E27FC236}">
              <a16:creationId xmlns:a16="http://schemas.microsoft.com/office/drawing/2014/main" id="{0BDFCC8D-8FA3-8248-A2A2-4C096D71E7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634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18</xdr:row>
      <xdr:rowOff>0</xdr:rowOff>
    </xdr:from>
    <xdr:ext cx="9525" cy="9525"/>
    <xdr:pic>
      <xdr:nvPicPr>
        <xdr:cNvPr id="625" name="Picture 624" descr="http://www.abs.gov.au/icons/ecblank.gif">
          <a:extLst>
            <a:ext uri="{FF2B5EF4-FFF2-40B4-BE49-F238E27FC236}">
              <a16:creationId xmlns:a16="http://schemas.microsoft.com/office/drawing/2014/main" id="{379C09DC-35C2-324B-8035-E2BFF7D5BE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634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18</xdr:row>
      <xdr:rowOff>0</xdr:rowOff>
    </xdr:from>
    <xdr:ext cx="9525" cy="9525"/>
    <xdr:pic>
      <xdr:nvPicPr>
        <xdr:cNvPr id="626" name="Picture 625" descr="http://www.abs.gov.au/icons/ecblank.gif">
          <a:extLst>
            <a:ext uri="{FF2B5EF4-FFF2-40B4-BE49-F238E27FC236}">
              <a16:creationId xmlns:a16="http://schemas.microsoft.com/office/drawing/2014/main" id="{44221418-40CC-DA4F-9333-1E4B3D026C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634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18</xdr:row>
      <xdr:rowOff>0</xdr:rowOff>
    </xdr:from>
    <xdr:ext cx="9525" cy="9525"/>
    <xdr:pic>
      <xdr:nvPicPr>
        <xdr:cNvPr id="627" name="Picture 626" descr="http://www.abs.gov.au/icons/ecblank.gif">
          <a:extLst>
            <a:ext uri="{FF2B5EF4-FFF2-40B4-BE49-F238E27FC236}">
              <a16:creationId xmlns:a16="http://schemas.microsoft.com/office/drawing/2014/main" id="{BDC06161-1EDB-CC42-977D-A788FA96B4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634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18</xdr:row>
      <xdr:rowOff>0</xdr:rowOff>
    </xdr:from>
    <xdr:ext cx="9525" cy="9525"/>
    <xdr:pic>
      <xdr:nvPicPr>
        <xdr:cNvPr id="628" name="Picture 627" descr="http://www.abs.gov.au/icons/ecblank.gif">
          <a:extLst>
            <a:ext uri="{FF2B5EF4-FFF2-40B4-BE49-F238E27FC236}">
              <a16:creationId xmlns:a16="http://schemas.microsoft.com/office/drawing/2014/main" id="{06CD1699-B5F4-3648-8034-CF9E13CED0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634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18</xdr:row>
      <xdr:rowOff>0</xdr:rowOff>
    </xdr:from>
    <xdr:ext cx="9525" cy="9525"/>
    <xdr:pic>
      <xdr:nvPicPr>
        <xdr:cNvPr id="629" name="Picture 628" descr="http://www.abs.gov.au/icons/ecblank.gif">
          <a:extLst>
            <a:ext uri="{FF2B5EF4-FFF2-40B4-BE49-F238E27FC236}">
              <a16:creationId xmlns:a16="http://schemas.microsoft.com/office/drawing/2014/main" id="{9EE217D6-6F70-D547-8BEC-744D62C12E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634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18</xdr:row>
      <xdr:rowOff>0</xdr:rowOff>
    </xdr:from>
    <xdr:ext cx="9525" cy="9525"/>
    <xdr:pic>
      <xdr:nvPicPr>
        <xdr:cNvPr id="630" name="Picture 629" descr="http://www.abs.gov.au/icons/ecblank.gif">
          <a:extLst>
            <a:ext uri="{FF2B5EF4-FFF2-40B4-BE49-F238E27FC236}">
              <a16:creationId xmlns:a16="http://schemas.microsoft.com/office/drawing/2014/main" id="{DEA930B6-3BB1-5446-A34F-7689BB9F7D4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634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18</xdr:row>
      <xdr:rowOff>0</xdr:rowOff>
    </xdr:from>
    <xdr:ext cx="9525" cy="9525"/>
    <xdr:pic>
      <xdr:nvPicPr>
        <xdr:cNvPr id="631" name="Picture 630" descr="http://www.abs.gov.au/icons/ecblank.gif">
          <a:extLst>
            <a:ext uri="{FF2B5EF4-FFF2-40B4-BE49-F238E27FC236}">
              <a16:creationId xmlns:a16="http://schemas.microsoft.com/office/drawing/2014/main" id="{AA1D5F63-7C6E-8746-9F37-948FDD8641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634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18</xdr:row>
      <xdr:rowOff>0</xdr:rowOff>
    </xdr:from>
    <xdr:ext cx="9525" cy="9525"/>
    <xdr:pic>
      <xdr:nvPicPr>
        <xdr:cNvPr id="632" name="Picture 631" descr="http://www.abs.gov.au/icons/ecblank.gif">
          <a:extLst>
            <a:ext uri="{FF2B5EF4-FFF2-40B4-BE49-F238E27FC236}">
              <a16:creationId xmlns:a16="http://schemas.microsoft.com/office/drawing/2014/main" id="{E92BAB6D-36C1-E448-99FD-6FE0B9B015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634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18</xdr:row>
      <xdr:rowOff>0</xdr:rowOff>
    </xdr:from>
    <xdr:ext cx="9525" cy="9525"/>
    <xdr:pic>
      <xdr:nvPicPr>
        <xdr:cNvPr id="633" name="Picture 632" descr="http://www.abs.gov.au/icons/ecblank.gif">
          <a:extLst>
            <a:ext uri="{FF2B5EF4-FFF2-40B4-BE49-F238E27FC236}">
              <a16:creationId xmlns:a16="http://schemas.microsoft.com/office/drawing/2014/main" id="{ED88E1FD-AFB1-FF4E-957A-651C210C41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634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18</xdr:row>
      <xdr:rowOff>0</xdr:rowOff>
    </xdr:from>
    <xdr:ext cx="9525" cy="9525"/>
    <xdr:pic>
      <xdr:nvPicPr>
        <xdr:cNvPr id="634" name="Picture 633" descr="http://www.abs.gov.au/icons/ecblank.gif">
          <a:extLst>
            <a:ext uri="{FF2B5EF4-FFF2-40B4-BE49-F238E27FC236}">
              <a16:creationId xmlns:a16="http://schemas.microsoft.com/office/drawing/2014/main" id="{1E63229B-6548-DE41-8849-6AAE7348E8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634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18</xdr:row>
      <xdr:rowOff>0</xdr:rowOff>
    </xdr:from>
    <xdr:ext cx="9525" cy="9525"/>
    <xdr:pic>
      <xdr:nvPicPr>
        <xdr:cNvPr id="635" name="Picture 634" descr="http://www.abs.gov.au/icons/ecblank.gif">
          <a:extLst>
            <a:ext uri="{FF2B5EF4-FFF2-40B4-BE49-F238E27FC236}">
              <a16:creationId xmlns:a16="http://schemas.microsoft.com/office/drawing/2014/main" id="{A2C82B2A-CE8C-A545-BEE2-C3D4FD885D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634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18</xdr:row>
      <xdr:rowOff>0</xdr:rowOff>
    </xdr:from>
    <xdr:ext cx="9525" cy="9525"/>
    <xdr:pic>
      <xdr:nvPicPr>
        <xdr:cNvPr id="636" name="Picture 635" descr="http://www.abs.gov.au/icons/ecblank.gif">
          <a:extLst>
            <a:ext uri="{FF2B5EF4-FFF2-40B4-BE49-F238E27FC236}">
              <a16:creationId xmlns:a16="http://schemas.microsoft.com/office/drawing/2014/main" id="{B704C903-7D94-4C40-9482-969CC79C33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634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18</xdr:row>
      <xdr:rowOff>0</xdr:rowOff>
    </xdr:from>
    <xdr:ext cx="9525" cy="9525"/>
    <xdr:pic>
      <xdr:nvPicPr>
        <xdr:cNvPr id="637" name="Picture 636" descr="http://www.abs.gov.au/icons/ecblank.gif">
          <a:extLst>
            <a:ext uri="{FF2B5EF4-FFF2-40B4-BE49-F238E27FC236}">
              <a16:creationId xmlns:a16="http://schemas.microsoft.com/office/drawing/2014/main" id="{A4D27314-5856-D443-9032-AAB9F7216C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634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18</xdr:row>
      <xdr:rowOff>0</xdr:rowOff>
    </xdr:from>
    <xdr:ext cx="9525" cy="9525"/>
    <xdr:pic>
      <xdr:nvPicPr>
        <xdr:cNvPr id="638" name="Picture 637" descr="http://www.abs.gov.au/icons/ecblank.gif">
          <a:extLst>
            <a:ext uri="{FF2B5EF4-FFF2-40B4-BE49-F238E27FC236}">
              <a16:creationId xmlns:a16="http://schemas.microsoft.com/office/drawing/2014/main" id="{3EB4E917-2CE9-5142-94D6-A35FC92A36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634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18</xdr:row>
      <xdr:rowOff>0</xdr:rowOff>
    </xdr:from>
    <xdr:ext cx="9525" cy="9525"/>
    <xdr:pic>
      <xdr:nvPicPr>
        <xdr:cNvPr id="639" name="Picture 638" descr="http://www.abs.gov.au/icons/ecblank.gif">
          <a:extLst>
            <a:ext uri="{FF2B5EF4-FFF2-40B4-BE49-F238E27FC236}">
              <a16:creationId xmlns:a16="http://schemas.microsoft.com/office/drawing/2014/main" id="{B0C5EAD1-952B-4B49-8149-A97F05509FE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634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18</xdr:row>
      <xdr:rowOff>0</xdr:rowOff>
    </xdr:from>
    <xdr:ext cx="9525" cy="9525"/>
    <xdr:pic>
      <xdr:nvPicPr>
        <xdr:cNvPr id="640" name="Picture 639" descr="http://www.abs.gov.au/icons/ecblank.gif">
          <a:extLst>
            <a:ext uri="{FF2B5EF4-FFF2-40B4-BE49-F238E27FC236}">
              <a16:creationId xmlns:a16="http://schemas.microsoft.com/office/drawing/2014/main" id="{800AC900-FED2-CE4D-97BF-C6D3B5827EC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634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18</xdr:row>
      <xdr:rowOff>0</xdr:rowOff>
    </xdr:from>
    <xdr:ext cx="9525" cy="9525"/>
    <xdr:pic>
      <xdr:nvPicPr>
        <xdr:cNvPr id="641" name="Picture 640" descr="http://www.abs.gov.au/icons/ecblank.gif">
          <a:extLst>
            <a:ext uri="{FF2B5EF4-FFF2-40B4-BE49-F238E27FC236}">
              <a16:creationId xmlns:a16="http://schemas.microsoft.com/office/drawing/2014/main" id="{F3B44617-3CA5-204B-AF9E-78ABC146F5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634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18</xdr:row>
      <xdr:rowOff>0</xdr:rowOff>
    </xdr:from>
    <xdr:ext cx="9525" cy="9525"/>
    <xdr:pic>
      <xdr:nvPicPr>
        <xdr:cNvPr id="642" name="Picture 641" descr="http://www.abs.gov.au/icons/ecblank.gif">
          <a:extLst>
            <a:ext uri="{FF2B5EF4-FFF2-40B4-BE49-F238E27FC236}">
              <a16:creationId xmlns:a16="http://schemas.microsoft.com/office/drawing/2014/main" id="{2EBFA5DF-70DE-3D42-8049-A2F16FDADF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634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18</xdr:row>
      <xdr:rowOff>0</xdr:rowOff>
    </xdr:from>
    <xdr:ext cx="9525" cy="9525"/>
    <xdr:pic>
      <xdr:nvPicPr>
        <xdr:cNvPr id="643" name="Picture 642" descr="http://www.abs.gov.au/icons/ecblank.gif">
          <a:extLst>
            <a:ext uri="{FF2B5EF4-FFF2-40B4-BE49-F238E27FC236}">
              <a16:creationId xmlns:a16="http://schemas.microsoft.com/office/drawing/2014/main" id="{97798CB2-0673-D349-B8B7-2CA6FC26F4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634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18</xdr:row>
      <xdr:rowOff>0</xdr:rowOff>
    </xdr:from>
    <xdr:ext cx="9525" cy="9525"/>
    <xdr:pic>
      <xdr:nvPicPr>
        <xdr:cNvPr id="644" name="Picture 643" descr="http://www.abs.gov.au/icons/ecblank.gif">
          <a:extLst>
            <a:ext uri="{FF2B5EF4-FFF2-40B4-BE49-F238E27FC236}">
              <a16:creationId xmlns:a16="http://schemas.microsoft.com/office/drawing/2014/main" id="{33147B1F-3CD1-9841-BB7B-9C5FAB4F9C8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634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18</xdr:row>
      <xdr:rowOff>0</xdr:rowOff>
    </xdr:from>
    <xdr:ext cx="9525" cy="9525"/>
    <xdr:pic>
      <xdr:nvPicPr>
        <xdr:cNvPr id="645" name="Picture 644" descr="http://www.abs.gov.au/icons/ecblank.gif">
          <a:extLst>
            <a:ext uri="{FF2B5EF4-FFF2-40B4-BE49-F238E27FC236}">
              <a16:creationId xmlns:a16="http://schemas.microsoft.com/office/drawing/2014/main" id="{245FE866-EA9D-9441-9A50-7B11178902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634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18</xdr:row>
      <xdr:rowOff>0</xdr:rowOff>
    </xdr:from>
    <xdr:ext cx="9525" cy="9525"/>
    <xdr:pic>
      <xdr:nvPicPr>
        <xdr:cNvPr id="646" name="Picture 645" descr="http://www.abs.gov.au/icons/ecblank.gif">
          <a:extLst>
            <a:ext uri="{FF2B5EF4-FFF2-40B4-BE49-F238E27FC236}">
              <a16:creationId xmlns:a16="http://schemas.microsoft.com/office/drawing/2014/main" id="{90896E4D-0C39-0448-911B-6B7C2A3434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634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18</xdr:row>
      <xdr:rowOff>0</xdr:rowOff>
    </xdr:from>
    <xdr:ext cx="9525" cy="9525"/>
    <xdr:pic>
      <xdr:nvPicPr>
        <xdr:cNvPr id="647" name="Picture 646" descr="http://www.abs.gov.au/icons/ecblank.gif">
          <a:extLst>
            <a:ext uri="{FF2B5EF4-FFF2-40B4-BE49-F238E27FC236}">
              <a16:creationId xmlns:a16="http://schemas.microsoft.com/office/drawing/2014/main" id="{5E6B14FD-1B70-204D-AF7B-4C74722D6B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634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18</xdr:row>
      <xdr:rowOff>0</xdr:rowOff>
    </xdr:from>
    <xdr:ext cx="9525" cy="9525"/>
    <xdr:pic>
      <xdr:nvPicPr>
        <xdr:cNvPr id="648" name="Picture 647" descr="http://www.abs.gov.au/icons/ecblank.gif">
          <a:extLst>
            <a:ext uri="{FF2B5EF4-FFF2-40B4-BE49-F238E27FC236}">
              <a16:creationId xmlns:a16="http://schemas.microsoft.com/office/drawing/2014/main" id="{6CB7A7B6-D66F-9548-A6EF-0C33A80824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634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18</xdr:row>
      <xdr:rowOff>0</xdr:rowOff>
    </xdr:from>
    <xdr:ext cx="9525" cy="9525"/>
    <xdr:pic>
      <xdr:nvPicPr>
        <xdr:cNvPr id="649" name="Picture 648" descr="http://www.abs.gov.au/icons/ecblank.gif">
          <a:extLst>
            <a:ext uri="{FF2B5EF4-FFF2-40B4-BE49-F238E27FC236}">
              <a16:creationId xmlns:a16="http://schemas.microsoft.com/office/drawing/2014/main" id="{ED3B51DA-BCF2-C34A-BE8F-DDB766F7F4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634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18</xdr:row>
      <xdr:rowOff>0</xdr:rowOff>
    </xdr:from>
    <xdr:ext cx="9525" cy="9525"/>
    <xdr:pic>
      <xdr:nvPicPr>
        <xdr:cNvPr id="650" name="Picture 649" descr="http://www.abs.gov.au/icons/ecblank.gif">
          <a:extLst>
            <a:ext uri="{FF2B5EF4-FFF2-40B4-BE49-F238E27FC236}">
              <a16:creationId xmlns:a16="http://schemas.microsoft.com/office/drawing/2014/main" id="{3571F401-4AE3-0A48-B436-8F32D29DFF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634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18</xdr:row>
      <xdr:rowOff>0</xdr:rowOff>
    </xdr:from>
    <xdr:ext cx="9525" cy="9525"/>
    <xdr:pic>
      <xdr:nvPicPr>
        <xdr:cNvPr id="651" name="Picture 650" descr="http://www.abs.gov.au/icons/ecblank.gif">
          <a:extLst>
            <a:ext uri="{FF2B5EF4-FFF2-40B4-BE49-F238E27FC236}">
              <a16:creationId xmlns:a16="http://schemas.microsoft.com/office/drawing/2014/main" id="{EAE00C40-C727-AC45-B189-87998AE6A0C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634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18</xdr:row>
      <xdr:rowOff>0</xdr:rowOff>
    </xdr:from>
    <xdr:ext cx="9525" cy="9525"/>
    <xdr:pic>
      <xdr:nvPicPr>
        <xdr:cNvPr id="652" name="Picture 651" descr="http://www.abs.gov.au/icons/ecblank.gif">
          <a:extLst>
            <a:ext uri="{FF2B5EF4-FFF2-40B4-BE49-F238E27FC236}">
              <a16:creationId xmlns:a16="http://schemas.microsoft.com/office/drawing/2014/main" id="{E1481B4F-3525-0B47-9652-6BDA38BBD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634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18</xdr:row>
      <xdr:rowOff>0</xdr:rowOff>
    </xdr:from>
    <xdr:ext cx="9525" cy="9525"/>
    <xdr:pic>
      <xdr:nvPicPr>
        <xdr:cNvPr id="653" name="Picture 652" descr="http://www.abs.gov.au/icons/ecblank.gif">
          <a:extLst>
            <a:ext uri="{FF2B5EF4-FFF2-40B4-BE49-F238E27FC236}">
              <a16:creationId xmlns:a16="http://schemas.microsoft.com/office/drawing/2014/main" id="{21D02BC7-7A4B-A04E-936A-84E7520C8F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634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18</xdr:row>
      <xdr:rowOff>0</xdr:rowOff>
    </xdr:from>
    <xdr:ext cx="9525" cy="9525"/>
    <xdr:pic>
      <xdr:nvPicPr>
        <xdr:cNvPr id="654" name="Picture 653" descr="http://www.abs.gov.au/icons/ecblank.gif">
          <a:extLst>
            <a:ext uri="{FF2B5EF4-FFF2-40B4-BE49-F238E27FC236}">
              <a16:creationId xmlns:a16="http://schemas.microsoft.com/office/drawing/2014/main" id="{D105470F-7EF4-0C4A-9611-21C80CDF88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634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18</xdr:row>
      <xdr:rowOff>0</xdr:rowOff>
    </xdr:from>
    <xdr:ext cx="9525" cy="9525"/>
    <xdr:pic>
      <xdr:nvPicPr>
        <xdr:cNvPr id="655" name="Picture 654" descr="http://www.abs.gov.au/icons/ecblank.gif">
          <a:extLst>
            <a:ext uri="{FF2B5EF4-FFF2-40B4-BE49-F238E27FC236}">
              <a16:creationId xmlns:a16="http://schemas.microsoft.com/office/drawing/2014/main" id="{CD03621C-26E4-B546-BBCE-41B99A68DB1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634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18</xdr:row>
      <xdr:rowOff>0</xdr:rowOff>
    </xdr:from>
    <xdr:ext cx="9525" cy="9525"/>
    <xdr:pic>
      <xdr:nvPicPr>
        <xdr:cNvPr id="656" name="Picture 655" descr="http://www.abs.gov.au/icons/ecblank.gif">
          <a:extLst>
            <a:ext uri="{FF2B5EF4-FFF2-40B4-BE49-F238E27FC236}">
              <a16:creationId xmlns:a16="http://schemas.microsoft.com/office/drawing/2014/main" id="{D9F2F59F-5DBB-6944-BECE-199621425E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634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18</xdr:row>
      <xdr:rowOff>0</xdr:rowOff>
    </xdr:from>
    <xdr:ext cx="9525" cy="9525"/>
    <xdr:pic>
      <xdr:nvPicPr>
        <xdr:cNvPr id="657" name="Picture 656" descr="http://www.abs.gov.au/icons/ecblank.gif">
          <a:extLst>
            <a:ext uri="{FF2B5EF4-FFF2-40B4-BE49-F238E27FC236}">
              <a16:creationId xmlns:a16="http://schemas.microsoft.com/office/drawing/2014/main" id="{92B2944E-647A-284B-A0CC-052E7CFE30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634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18</xdr:row>
      <xdr:rowOff>0</xdr:rowOff>
    </xdr:from>
    <xdr:ext cx="9525" cy="9525"/>
    <xdr:pic>
      <xdr:nvPicPr>
        <xdr:cNvPr id="658" name="Picture 657" descr="http://www.abs.gov.au/icons/ecblank.gif">
          <a:extLst>
            <a:ext uri="{FF2B5EF4-FFF2-40B4-BE49-F238E27FC236}">
              <a16:creationId xmlns:a16="http://schemas.microsoft.com/office/drawing/2014/main" id="{8D0473CB-88B7-A846-99FE-2E0552DDA6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634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18</xdr:row>
      <xdr:rowOff>0</xdr:rowOff>
    </xdr:from>
    <xdr:ext cx="9525" cy="9525"/>
    <xdr:pic>
      <xdr:nvPicPr>
        <xdr:cNvPr id="659" name="Picture 658" descr="http://www.abs.gov.au/icons/ecblank.gif">
          <a:extLst>
            <a:ext uri="{FF2B5EF4-FFF2-40B4-BE49-F238E27FC236}">
              <a16:creationId xmlns:a16="http://schemas.microsoft.com/office/drawing/2014/main" id="{23746852-C0F6-9B45-BA11-44F50862E0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634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18</xdr:row>
      <xdr:rowOff>0</xdr:rowOff>
    </xdr:from>
    <xdr:ext cx="9525" cy="9525"/>
    <xdr:pic>
      <xdr:nvPicPr>
        <xdr:cNvPr id="660" name="Picture 659" descr="http://www.abs.gov.au/icons/ecblank.gif">
          <a:extLst>
            <a:ext uri="{FF2B5EF4-FFF2-40B4-BE49-F238E27FC236}">
              <a16:creationId xmlns:a16="http://schemas.microsoft.com/office/drawing/2014/main" id="{8445745A-0F2E-9F4A-A687-88E0C5B6E3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634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18</xdr:row>
      <xdr:rowOff>0</xdr:rowOff>
    </xdr:from>
    <xdr:ext cx="9525" cy="9525"/>
    <xdr:pic>
      <xdr:nvPicPr>
        <xdr:cNvPr id="661" name="Picture 660" descr="http://www.abs.gov.au/icons/ecblank.gif">
          <a:extLst>
            <a:ext uri="{FF2B5EF4-FFF2-40B4-BE49-F238E27FC236}">
              <a16:creationId xmlns:a16="http://schemas.microsoft.com/office/drawing/2014/main" id="{40C04F52-27D5-CB47-8818-C598DE8C22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634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18</xdr:row>
      <xdr:rowOff>0</xdr:rowOff>
    </xdr:from>
    <xdr:ext cx="9525" cy="9525"/>
    <xdr:pic>
      <xdr:nvPicPr>
        <xdr:cNvPr id="662" name="Picture 661" descr="http://www.abs.gov.au/icons/ecblank.gif">
          <a:extLst>
            <a:ext uri="{FF2B5EF4-FFF2-40B4-BE49-F238E27FC236}">
              <a16:creationId xmlns:a16="http://schemas.microsoft.com/office/drawing/2014/main" id="{CC8D5549-8058-5847-B0DA-B15EF6C2F9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634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18</xdr:row>
      <xdr:rowOff>0</xdr:rowOff>
    </xdr:from>
    <xdr:ext cx="9525" cy="9525"/>
    <xdr:pic>
      <xdr:nvPicPr>
        <xdr:cNvPr id="663" name="Picture 662" descr="http://www.abs.gov.au/icons/ecblank.gif">
          <a:extLst>
            <a:ext uri="{FF2B5EF4-FFF2-40B4-BE49-F238E27FC236}">
              <a16:creationId xmlns:a16="http://schemas.microsoft.com/office/drawing/2014/main" id="{144365D0-9FA7-1745-8612-E7E84AE8D8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634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18</xdr:row>
      <xdr:rowOff>0</xdr:rowOff>
    </xdr:from>
    <xdr:ext cx="9525" cy="9525"/>
    <xdr:pic>
      <xdr:nvPicPr>
        <xdr:cNvPr id="664" name="Picture 663" descr="http://www.abs.gov.au/icons/ecblank.gif">
          <a:extLst>
            <a:ext uri="{FF2B5EF4-FFF2-40B4-BE49-F238E27FC236}">
              <a16:creationId xmlns:a16="http://schemas.microsoft.com/office/drawing/2014/main" id="{34D77464-95FD-5D44-A99D-98C332956D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634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18</xdr:row>
      <xdr:rowOff>0</xdr:rowOff>
    </xdr:from>
    <xdr:ext cx="9525" cy="9525"/>
    <xdr:pic>
      <xdr:nvPicPr>
        <xdr:cNvPr id="665" name="Picture 664" descr="http://www.abs.gov.au/icons/ecblank.gif">
          <a:extLst>
            <a:ext uri="{FF2B5EF4-FFF2-40B4-BE49-F238E27FC236}">
              <a16:creationId xmlns:a16="http://schemas.microsoft.com/office/drawing/2014/main" id="{C12B21B3-E78E-BB4A-8911-B841F8DD08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634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18</xdr:row>
      <xdr:rowOff>0</xdr:rowOff>
    </xdr:from>
    <xdr:ext cx="9525" cy="9525"/>
    <xdr:pic>
      <xdr:nvPicPr>
        <xdr:cNvPr id="666" name="Picture 665" descr="http://www.abs.gov.au/icons/ecblank.gif">
          <a:extLst>
            <a:ext uri="{FF2B5EF4-FFF2-40B4-BE49-F238E27FC236}">
              <a16:creationId xmlns:a16="http://schemas.microsoft.com/office/drawing/2014/main" id="{90A7DDFD-8879-ED43-9C8A-4E9AAC30E5F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634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18</xdr:row>
      <xdr:rowOff>0</xdr:rowOff>
    </xdr:from>
    <xdr:ext cx="9525" cy="9525"/>
    <xdr:pic>
      <xdr:nvPicPr>
        <xdr:cNvPr id="667" name="Picture 666" descr="http://www.abs.gov.au/icons/ecblank.gif">
          <a:extLst>
            <a:ext uri="{FF2B5EF4-FFF2-40B4-BE49-F238E27FC236}">
              <a16:creationId xmlns:a16="http://schemas.microsoft.com/office/drawing/2014/main" id="{89BDBD6C-1084-A94C-9F37-C363B3450DC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634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18</xdr:row>
      <xdr:rowOff>0</xdr:rowOff>
    </xdr:from>
    <xdr:ext cx="9525" cy="9525"/>
    <xdr:pic>
      <xdr:nvPicPr>
        <xdr:cNvPr id="668" name="Picture 667" descr="http://www.abs.gov.au/icons/ecblank.gif">
          <a:extLst>
            <a:ext uri="{FF2B5EF4-FFF2-40B4-BE49-F238E27FC236}">
              <a16:creationId xmlns:a16="http://schemas.microsoft.com/office/drawing/2014/main" id="{0CF589C2-A047-0445-AC86-F75DEA4CB2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634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18</xdr:row>
      <xdr:rowOff>0</xdr:rowOff>
    </xdr:from>
    <xdr:ext cx="9525" cy="9525"/>
    <xdr:pic>
      <xdr:nvPicPr>
        <xdr:cNvPr id="669" name="Picture 668" descr="http://www.abs.gov.au/icons/ecblank.gif">
          <a:extLst>
            <a:ext uri="{FF2B5EF4-FFF2-40B4-BE49-F238E27FC236}">
              <a16:creationId xmlns:a16="http://schemas.microsoft.com/office/drawing/2014/main" id="{EA1D55E8-A307-2B46-9FAB-B2FBBC0794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634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18</xdr:row>
      <xdr:rowOff>0</xdr:rowOff>
    </xdr:from>
    <xdr:ext cx="9525" cy="9525"/>
    <xdr:pic>
      <xdr:nvPicPr>
        <xdr:cNvPr id="670" name="Picture 669" descr="http://www.abs.gov.au/icons/ecblank.gif">
          <a:extLst>
            <a:ext uri="{FF2B5EF4-FFF2-40B4-BE49-F238E27FC236}">
              <a16:creationId xmlns:a16="http://schemas.microsoft.com/office/drawing/2014/main" id="{7629EB7B-5416-264E-8B76-7B48150FA1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634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18</xdr:row>
      <xdr:rowOff>0</xdr:rowOff>
    </xdr:from>
    <xdr:ext cx="9525" cy="9525"/>
    <xdr:pic>
      <xdr:nvPicPr>
        <xdr:cNvPr id="671" name="Picture 670" descr="http://www.abs.gov.au/icons/ecblank.gif">
          <a:extLst>
            <a:ext uri="{FF2B5EF4-FFF2-40B4-BE49-F238E27FC236}">
              <a16:creationId xmlns:a16="http://schemas.microsoft.com/office/drawing/2014/main" id="{22F7612E-1AFC-BB49-8398-E80E374EDE5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634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18</xdr:row>
      <xdr:rowOff>0</xdr:rowOff>
    </xdr:from>
    <xdr:ext cx="9525" cy="9525"/>
    <xdr:pic>
      <xdr:nvPicPr>
        <xdr:cNvPr id="672" name="Picture 671" descr="http://www.abs.gov.au/icons/ecblank.gif">
          <a:extLst>
            <a:ext uri="{FF2B5EF4-FFF2-40B4-BE49-F238E27FC236}">
              <a16:creationId xmlns:a16="http://schemas.microsoft.com/office/drawing/2014/main" id="{4D7A9975-8055-834F-B32F-B38B0A73DC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634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18</xdr:row>
      <xdr:rowOff>0</xdr:rowOff>
    </xdr:from>
    <xdr:ext cx="9525" cy="9525"/>
    <xdr:pic>
      <xdr:nvPicPr>
        <xdr:cNvPr id="673" name="Picture 672" descr="http://www.abs.gov.au/icons/ecblank.gif">
          <a:extLst>
            <a:ext uri="{FF2B5EF4-FFF2-40B4-BE49-F238E27FC236}">
              <a16:creationId xmlns:a16="http://schemas.microsoft.com/office/drawing/2014/main" id="{E4805EC5-7338-F24A-B545-8ADEC84FD3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634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18</xdr:row>
      <xdr:rowOff>0</xdr:rowOff>
    </xdr:from>
    <xdr:ext cx="9525" cy="9525"/>
    <xdr:pic>
      <xdr:nvPicPr>
        <xdr:cNvPr id="674" name="Picture 673" descr="http://www.abs.gov.au/icons/ecblank.gif">
          <a:extLst>
            <a:ext uri="{FF2B5EF4-FFF2-40B4-BE49-F238E27FC236}">
              <a16:creationId xmlns:a16="http://schemas.microsoft.com/office/drawing/2014/main" id="{225395EE-1A2E-E94C-A2C5-03E665988C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634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18</xdr:row>
      <xdr:rowOff>0</xdr:rowOff>
    </xdr:from>
    <xdr:ext cx="9525" cy="9525"/>
    <xdr:pic>
      <xdr:nvPicPr>
        <xdr:cNvPr id="675" name="Picture 674" descr="http://www.abs.gov.au/icons/ecblank.gif">
          <a:extLst>
            <a:ext uri="{FF2B5EF4-FFF2-40B4-BE49-F238E27FC236}">
              <a16:creationId xmlns:a16="http://schemas.microsoft.com/office/drawing/2014/main" id="{DC47A400-57FA-2C4F-9165-69933DEE146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634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18</xdr:row>
      <xdr:rowOff>0</xdr:rowOff>
    </xdr:from>
    <xdr:ext cx="9525" cy="9525"/>
    <xdr:pic>
      <xdr:nvPicPr>
        <xdr:cNvPr id="676" name="Picture 675" descr="http://www.abs.gov.au/icons/ecblank.gif">
          <a:extLst>
            <a:ext uri="{FF2B5EF4-FFF2-40B4-BE49-F238E27FC236}">
              <a16:creationId xmlns:a16="http://schemas.microsoft.com/office/drawing/2014/main" id="{F7D76461-1CFD-C04F-8233-480AF565BD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634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18</xdr:row>
      <xdr:rowOff>0</xdr:rowOff>
    </xdr:from>
    <xdr:ext cx="9525" cy="9525"/>
    <xdr:pic>
      <xdr:nvPicPr>
        <xdr:cNvPr id="677" name="Picture 676" descr="http://www.abs.gov.au/icons/ecblank.gif">
          <a:extLst>
            <a:ext uri="{FF2B5EF4-FFF2-40B4-BE49-F238E27FC236}">
              <a16:creationId xmlns:a16="http://schemas.microsoft.com/office/drawing/2014/main" id="{7BD5DD35-5C8B-0643-BE88-2EA1ACAB18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634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18</xdr:row>
      <xdr:rowOff>0</xdr:rowOff>
    </xdr:from>
    <xdr:ext cx="9525" cy="9525"/>
    <xdr:pic>
      <xdr:nvPicPr>
        <xdr:cNvPr id="678" name="Picture 677" descr="http://www.abs.gov.au/icons/ecblank.gif">
          <a:extLst>
            <a:ext uri="{FF2B5EF4-FFF2-40B4-BE49-F238E27FC236}">
              <a16:creationId xmlns:a16="http://schemas.microsoft.com/office/drawing/2014/main" id="{D9AA3D5A-EC20-5B43-B11A-7D1803CE66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634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18</xdr:row>
      <xdr:rowOff>0</xdr:rowOff>
    </xdr:from>
    <xdr:ext cx="9525" cy="9525"/>
    <xdr:pic>
      <xdr:nvPicPr>
        <xdr:cNvPr id="679" name="Picture 678" descr="http://www.abs.gov.au/icons/ecblank.gif">
          <a:extLst>
            <a:ext uri="{FF2B5EF4-FFF2-40B4-BE49-F238E27FC236}">
              <a16:creationId xmlns:a16="http://schemas.microsoft.com/office/drawing/2014/main" id="{E2CEF7B8-15E5-3947-AA28-DB7E9FAE35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634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18</xdr:row>
      <xdr:rowOff>0</xdr:rowOff>
    </xdr:from>
    <xdr:ext cx="9525" cy="9525"/>
    <xdr:pic>
      <xdr:nvPicPr>
        <xdr:cNvPr id="680" name="Picture 679" descr="http://www.abs.gov.au/icons/ecblank.gif">
          <a:extLst>
            <a:ext uri="{FF2B5EF4-FFF2-40B4-BE49-F238E27FC236}">
              <a16:creationId xmlns:a16="http://schemas.microsoft.com/office/drawing/2014/main" id="{BCFE54A5-B5A9-A94B-831A-673F4276FB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634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18</xdr:row>
      <xdr:rowOff>0</xdr:rowOff>
    </xdr:from>
    <xdr:ext cx="9525" cy="9525"/>
    <xdr:pic>
      <xdr:nvPicPr>
        <xdr:cNvPr id="681" name="Picture 680" descr="http://www.abs.gov.au/icons/ecblank.gif">
          <a:extLst>
            <a:ext uri="{FF2B5EF4-FFF2-40B4-BE49-F238E27FC236}">
              <a16:creationId xmlns:a16="http://schemas.microsoft.com/office/drawing/2014/main" id="{2EE63E5D-4AC9-2D40-BD74-F8C03A7879D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634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18</xdr:row>
      <xdr:rowOff>0</xdr:rowOff>
    </xdr:from>
    <xdr:ext cx="9525" cy="9525"/>
    <xdr:pic>
      <xdr:nvPicPr>
        <xdr:cNvPr id="682" name="Picture 681" descr="http://www.abs.gov.au/icons/ecblank.gif">
          <a:extLst>
            <a:ext uri="{FF2B5EF4-FFF2-40B4-BE49-F238E27FC236}">
              <a16:creationId xmlns:a16="http://schemas.microsoft.com/office/drawing/2014/main" id="{ADAB95C0-6579-934A-ACEE-033CB923E0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634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18</xdr:row>
      <xdr:rowOff>0</xdr:rowOff>
    </xdr:from>
    <xdr:ext cx="9525" cy="9525"/>
    <xdr:pic>
      <xdr:nvPicPr>
        <xdr:cNvPr id="683" name="Picture 682" descr="http://www.abs.gov.au/icons/ecblank.gif">
          <a:extLst>
            <a:ext uri="{FF2B5EF4-FFF2-40B4-BE49-F238E27FC236}">
              <a16:creationId xmlns:a16="http://schemas.microsoft.com/office/drawing/2014/main" id="{A93B0CE7-4B9B-AE46-959C-49F87AB0BC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634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18</xdr:row>
      <xdr:rowOff>0</xdr:rowOff>
    </xdr:from>
    <xdr:ext cx="9525" cy="9525"/>
    <xdr:pic>
      <xdr:nvPicPr>
        <xdr:cNvPr id="684" name="Picture 683" descr="http://www.abs.gov.au/icons/ecblank.gif">
          <a:extLst>
            <a:ext uri="{FF2B5EF4-FFF2-40B4-BE49-F238E27FC236}">
              <a16:creationId xmlns:a16="http://schemas.microsoft.com/office/drawing/2014/main" id="{91EBDCC3-A65C-9243-9C34-5C51215512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634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18</xdr:row>
      <xdr:rowOff>0</xdr:rowOff>
    </xdr:from>
    <xdr:ext cx="9525" cy="9525"/>
    <xdr:pic>
      <xdr:nvPicPr>
        <xdr:cNvPr id="685" name="Picture 684" descr="http://www.abs.gov.au/icons/ecblank.gif">
          <a:extLst>
            <a:ext uri="{FF2B5EF4-FFF2-40B4-BE49-F238E27FC236}">
              <a16:creationId xmlns:a16="http://schemas.microsoft.com/office/drawing/2014/main" id="{69A34F2F-9579-2749-8C04-7CA8B59314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634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18</xdr:row>
      <xdr:rowOff>0</xdr:rowOff>
    </xdr:from>
    <xdr:ext cx="9525" cy="9525"/>
    <xdr:pic>
      <xdr:nvPicPr>
        <xdr:cNvPr id="686" name="Picture 685" descr="http://www.abs.gov.au/icons/ecblank.gif">
          <a:extLst>
            <a:ext uri="{FF2B5EF4-FFF2-40B4-BE49-F238E27FC236}">
              <a16:creationId xmlns:a16="http://schemas.microsoft.com/office/drawing/2014/main" id="{A0D4E523-1175-E646-875A-EE61D16BACC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634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18</xdr:row>
      <xdr:rowOff>0</xdr:rowOff>
    </xdr:from>
    <xdr:ext cx="9525" cy="9525"/>
    <xdr:pic>
      <xdr:nvPicPr>
        <xdr:cNvPr id="687" name="Picture 686" descr="http://www.abs.gov.au/icons/ecblank.gif">
          <a:extLst>
            <a:ext uri="{FF2B5EF4-FFF2-40B4-BE49-F238E27FC236}">
              <a16:creationId xmlns:a16="http://schemas.microsoft.com/office/drawing/2014/main" id="{0EF93395-DF5A-F444-8A5C-145529A2D8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634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18</xdr:row>
      <xdr:rowOff>0</xdr:rowOff>
    </xdr:from>
    <xdr:ext cx="9525" cy="9525"/>
    <xdr:pic>
      <xdr:nvPicPr>
        <xdr:cNvPr id="688" name="Picture 687" descr="http://www.abs.gov.au/icons/ecblank.gif">
          <a:extLst>
            <a:ext uri="{FF2B5EF4-FFF2-40B4-BE49-F238E27FC236}">
              <a16:creationId xmlns:a16="http://schemas.microsoft.com/office/drawing/2014/main" id="{0F95345E-ED4F-4249-A275-1AA30E5231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634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18</xdr:row>
      <xdr:rowOff>0</xdr:rowOff>
    </xdr:from>
    <xdr:ext cx="9525" cy="9525"/>
    <xdr:pic>
      <xdr:nvPicPr>
        <xdr:cNvPr id="689" name="Picture 688" descr="http://www.abs.gov.au/icons/ecblank.gif">
          <a:extLst>
            <a:ext uri="{FF2B5EF4-FFF2-40B4-BE49-F238E27FC236}">
              <a16:creationId xmlns:a16="http://schemas.microsoft.com/office/drawing/2014/main" id="{2A7A7977-7D06-EB40-9E64-1B1D5A2CE9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634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18</xdr:row>
      <xdr:rowOff>0</xdr:rowOff>
    </xdr:from>
    <xdr:ext cx="9525" cy="9525"/>
    <xdr:pic>
      <xdr:nvPicPr>
        <xdr:cNvPr id="690" name="Picture 689" descr="http://www.abs.gov.au/icons/ecblank.gif">
          <a:extLst>
            <a:ext uri="{FF2B5EF4-FFF2-40B4-BE49-F238E27FC236}">
              <a16:creationId xmlns:a16="http://schemas.microsoft.com/office/drawing/2014/main" id="{C1434043-9A01-144E-9D49-4EA416C774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634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18</xdr:row>
      <xdr:rowOff>0</xdr:rowOff>
    </xdr:from>
    <xdr:ext cx="9525" cy="9525"/>
    <xdr:pic>
      <xdr:nvPicPr>
        <xdr:cNvPr id="691" name="Picture 690" descr="http://www.abs.gov.au/icons/ecblank.gif">
          <a:extLst>
            <a:ext uri="{FF2B5EF4-FFF2-40B4-BE49-F238E27FC236}">
              <a16:creationId xmlns:a16="http://schemas.microsoft.com/office/drawing/2014/main" id="{7791D5BF-73D6-644A-9E60-57132BF59F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634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18</xdr:row>
      <xdr:rowOff>0</xdr:rowOff>
    </xdr:from>
    <xdr:ext cx="9525" cy="9525"/>
    <xdr:pic>
      <xdr:nvPicPr>
        <xdr:cNvPr id="692" name="Picture 691" descr="http://www.abs.gov.au/icons/ecblank.gif">
          <a:extLst>
            <a:ext uri="{FF2B5EF4-FFF2-40B4-BE49-F238E27FC236}">
              <a16:creationId xmlns:a16="http://schemas.microsoft.com/office/drawing/2014/main" id="{33BE0685-7838-1141-AA64-C76AA6C814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634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18</xdr:row>
      <xdr:rowOff>0</xdr:rowOff>
    </xdr:from>
    <xdr:ext cx="9525" cy="9525"/>
    <xdr:pic>
      <xdr:nvPicPr>
        <xdr:cNvPr id="693" name="Picture 692" descr="http://www.abs.gov.au/icons/ecblank.gif">
          <a:extLst>
            <a:ext uri="{FF2B5EF4-FFF2-40B4-BE49-F238E27FC236}">
              <a16:creationId xmlns:a16="http://schemas.microsoft.com/office/drawing/2014/main" id="{E3A03E53-99B6-1C44-A2BC-2A5E55D0C6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634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18</xdr:row>
      <xdr:rowOff>0</xdr:rowOff>
    </xdr:from>
    <xdr:ext cx="9525" cy="9525"/>
    <xdr:pic>
      <xdr:nvPicPr>
        <xdr:cNvPr id="694" name="Picture 693" descr="http://www.abs.gov.au/icons/ecblank.gif">
          <a:extLst>
            <a:ext uri="{FF2B5EF4-FFF2-40B4-BE49-F238E27FC236}">
              <a16:creationId xmlns:a16="http://schemas.microsoft.com/office/drawing/2014/main" id="{97B517B6-146D-FC40-A2DB-8AD6CD1DA7B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634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18</xdr:row>
      <xdr:rowOff>0</xdr:rowOff>
    </xdr:from>
    <xdr:ext cx="9525" cy="9525"/>
    <xdr:pic>
      <xdr:nvPicPr>
        <xdr:cNvPr id="695" name="Picture 694" descr="http://www.abs.gov.au/icons/ecblank.gif">
          <a:extLst>
            <a:ext uri="{FF2B5EF4-FFF2-40B4-BE49-F238E27FC236}">
              <a16:creationId xmlns:a16="http://schemas.microsoft.com/office/drawing/2014/main" id="{22BAEEA3-DD87-9542-A4EF-2BBE85AEB6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634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18</xdr:row>
      <xdr:rowOff>0</xdr:rowOff>
    </xdr:from>
    <xdr:ext cx="9525" cy="9525"/>
    <xdr:pic>
      <xdr:nvPicPr>
        <xdr:cNvPr id="696" name="Picture 695" descr="http://www.abs.gov.au/icons/ecblank.gif">
          <a:extLst>
            <a:ext uri="{FF2B5EF4-FFF2-40B4-BE49-F238E27FC236}">
              <a16:creationId xmlns:a16="http://schemas.microsoft.com/office/drawing/2014/main" id="{E84E126F-FE97-E741-9D24-4E8160465E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634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18</xdr:row>
      <xdr:rowOff>0</xdr:rowOff>
    </xdr:from>
    <xdr:ext cx="9525" cy="9525"/>
    <xdr:pic>
      <xdr:nvPicPr>
        <xdr:cNvPr id="697" name="Picture 696" descr="http://www.abs.gov.au/icons/ecblank.gif">
          <a:extLst>
            <a:ext uri="{FF2B5EF4-FFF2-40B4-BE49-F238E27FC236}">
              <a16:creationId xmlns:a16="http://schemas.microsoft.com/office/drawing/2014/main" id="{32BDD5F5-55FD-BA4B-AE9D-60A3D4293D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634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18</xdr:row>
      <xdr:rowOff>0</xdr:rowOff>
    </xdr:from>
    <xdr:ext cx="9525" cy="9525"/>
    <xdr:pic>
      <xdr:nvPicPr>
        <xdr:cNvPr id="698" name="Picture 697" descr="http://www.abs.gov.au/icons/ecblank.gif">
          <a:extLst>
            <a:ext uri="{FF2B5EF4-FFF2-40B4-BE49-F238E27FC236}">
              <a16:creationId xmlns:a16="http://schemas.microsoft.com/office/drawing/2014/main" id="{10350CAA-BD42-8D46-9FCE-ACA714D894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634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18</xdr:row>
      <xdr:rowOff>0</xdr:rowOff>
    </xdr:from>
    <xdr:ext cx="9525" cy="9525"/>
    <xdr:pic>
      <xdr:nvPicPr>
        <xdr:cNvPr id="699" name="Picture 698" descr="http://www.abs.gov.au/icons/ecblank.gif">
          <a:extLst>
            <a:ext uri="{FF2B5EF4-FFF2-40B4-BE49-F238E27FC236}">
              <a16:creationId xmlns:a16="http://schemas.microsoft.com/office/drawing/2014/main" id="{C2D65D86-697C-E943-8372-3C43661E62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634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18</xdr:row>
      <xdr:rowOff>0</xdr:rowOff>
    </xdr:from>
    <xdr:ext cx="9525" cy="9525"/>
    <xdr:pic>
      <xdr:nvPicPr>
        <xdr:cNvPr id="700" name="Picture 699" descr="http://www.abs.gov.au/icons/ecblank.gif">
          <a:extLst>
            <a:ext uri="{FF2B5EF4-FFF2-40B4-BE49-F238E27FC236}">
              <a16:creationId xmlns:a16="http://schemas.microsoft.com/office/drawing/2014/main" id="{FD64D44A-781E-D74A-8A4C-2F391FF0B3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634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18</xdr:row>
      <xdr:rowOff>0</xdr:rowOff>
    </xdr:from>
    <xdr:ext cx="9525" cy="9525"/>
    <xdr:pic>
      <xdr:nvPicPr>
        <xdr:cNvPr id="701" name="Picture 700" descr="http://www.abs.gov.au/icons/ecblank.gif">
          <a:extLst>
            <a:ext uri="{FF2B5EF4-FFF2-40B4-BE49-F238E27FC236}">
              <a16:creationId xmlns:a16="http://schemas.microsoft.com/office/drawing/2014/main" id="{20699257-C70D-F54D-B14A-354F666215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634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18</xdr:row>
      <xdr:rowOff>0</xdr:rowOff>
    </xdr:from>
    <xdr:ext cx="9525" cy="9525"/>
    <xdr:pic>
      <xdr:nvPicPr>
        <xdr:cNvPr id="702" name="Picture 701" descr="http://www.abs.gov.au/icons/ecblank.gif">
          <a:extLst>
            <a:ext uri="{FF2B5EF4-FFF2-40B4-BE49-F238E27FC236}">
              <a16:creationId xmlns:a16="http://schemas.microsoft.com/office/drawing/2014/main" id="{3DB9337E-3688-474E-B04B-4FC0273C96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634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18</xdr:row>
      <xdr:rowOff>0</xdr:rowOff>
    </xdr:from>
    <xdr:ext cx="9525" cy="9525"/>
    <xdr:pic>
      <xdr:nvPicPr>
        <xdr:cNvPr id="703" name="Picture 702" descr="http://www.abs.gov.au/icons/ecblank.gif">
          <a:extLst>
            <a:ext uri="{FF2B5EF4-FFF2-40B4-BE49-F238E27FC236}">
              <a16:creationId xmlns:a16="http://schemas.microsoft.com/office/drawing/2014/main" id="{293E9645-0CB5-3D42-81C5-F3FDFF1CA35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634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18</xdr:row>
      <xdr:rowOff>0</xdr:rowOff>
    </xdr:from>
    <xdr:ext cx="9525" cy="9525"/>
    <xdr:pic>
      <xdr:nvPicPr>
        <xdr:cNvPr id="704" name="Picture 703" descr="http://www.abs.gov.au/icons/ecblank.gif">
          <a:extLst>
            <a:ext uri="{FF2B5EF4-FFF2-40B4-BE49-F238E27FC236}">
              <a16:creationId xmlns:a16="http://schemas.microsoft.com/office/drawing/2014/main" id="{C7A5E49E-5833-5D46-84DA-22BC038CC6B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634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18</xdr:row>
      <xdr:rowOff>0</xdr:rowOff>
    </xdr:from>
    <xdr:ext cx="9525" cy="9525"/>
    <xdr:pic>
      <xdr:nvPicPr>
        <xdr:cNvPr id="705" name="Picture 704" descr="http://www.abs.gov.au/icons/ecblank.gif">
          <a:extLst>
            <a:ext uri="{FF2B5EF4-FFF2-40B4-BE49-F238E27FC236}">
              <a16:creationId xmlns:a16="http://schemas.microsoft.com/office/drawing/2014/main" id="{712772B7-7829-1C42-8D66-D9623BA6A7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634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18</xdr:row>
      <xdr:rowOff>0</xdr:rowOff>
    </xdr:from>
    <xdr:ext cx="9525" cy="9525"/>
    <xdr:pic>
      <xdr:nvPicPr>
        <xdr:cNvPr id="706" name="Picture 705" descr="http://www.abs.gov.au/icons/ecblank.gif">
          <a:extLst>
            <a:ext uri="{FF2B5EF4-FFF2-40B4-BE49-F238E27FC236}">
              <a16:creationId xmlns:a16="http://schemas.microsoft.com/office/drawing/2014/main" id="{9CFEF0A2-9D5D-DF4F-BF51-6DED2669BC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634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18</xdr:row>
      <xdr:rowOff>0</xdr:rowOff>
    </xdr:from>
    <xdr:ext cx="9525" cy="9525"/>
    <xdr:pic>
      <xdr:nvPicPr>
        <xdr:cNvPr id="707" name="Picture 706" descr="http://www.abs.gov.au/icons/ecblank.gif">
          <a:extLst>
            <a:ext uri="{FF2B5EF4-FFF2-40B4-BE49-F238E27FC236}">
              <a16:creationId xmlns:a16="http://schemas.microsoft.com/office/drawing/2014/main" id="{128EC3DB-C803-2943-A203-26A30F3F37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634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18</xdr:row>
      <xdr:rowOff>0</xdr:rowOff>
    </xdr:from>
    <xdr:ext cx="9525" cy="9525"/>
    <xdr:pic>
      <xdr:nvPicPr>
        <xdr:cNvPr id="708" name="Picture 707" descr="http://www.abs.gov.au/icons/ecblank.gif">
          <a:extLst>
            <a:ext uri="{FF2B5EF4-FFF2-40B4-BE49-F238E27FC236}">
              <a16:creationId xmlns:a16="http://schemas.microsoft.com/office/drawing/2014/main" id="{E4654432-9409-6D46-8D2F-BF1065D1A4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634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18</xdr:row>
      <xdr:rowOff>0</xdr:rowOff>
    </xdr:from>
    <xdr:ext cx="9525" cy="9525"/>
    <xdr:pic>
      <xdr:nvPicPr>
        <xdr:cNvPr id="709" name="Picture 708" descr="http://www.abs.gov.au/icons/ecblank.gif">
          <a:extLst>
            <a:ext uri="{FF2B5EF4-FFF2-40B4-BE49-F238E27FC236}">
              <a16:creationId xmlns:a16="http://schemas.microsoft.com/office/drawing/2014/main" id="{F0EB186C-B895-C543-80A9-53ACA1D060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634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18</xdr:row>
      <xdr:rowOff>0</xdr:rowOff>
    </xdr:from>
    <xdr:ext cx="9525" cy="9525"/>
    <xdr:pic>
      <xdr:nvPicPr>
        <xdr:cNvPr id="710" name="Picture 709" descr="http://www.abs.gov.au/icons/ecblank.gif">
          <a:extLst>
            <a:ext uri="{FF2B5EF4-FFF2-40B4-BE49-F238E27FC236}">
              <a16:creationId xmlns:a16="http://schemas.microsoft.com/office/drawing/2014/main" id="{1AA3A940-A2FF-9745-B525-4593369A09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634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18</xdr:row>
      <xdr:rowOff>0</xdr:rowOff>
    </xdr:from>
    <xdr:ext cx="9525" cy="9525"/>
    <xdr:pic>
      <xdr:nvPicPr>
        <xdr:cNvPr id="711" name="Picture 710" descr="http://www.abs.gov.au/icons/ecblank.gif">
          <a:extLst>
            <a:ext uri="{FF2B5EF4-FFF2-40B4-BE49-F238E27FC236}">
              <a16:creationId xmlns:a16="http://schemas.microsoft.com/office/drawing/2014/main" id="{D1C21FE1-06AF-3D4F-8CA3-F8F154A656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634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18</xdr:row>
      <xdr:rowOff>0</xdr:rowOff>
    </xdr:from>
    <xdr:ext cx="9525" cy="9525"/>
    <xdr:pic>
      <xdr:nvPicPr>
        <xdr:cNvPr id="712" name="Picture 711" descr="http://www.abs.gov.au/icons/ecblank.gif">
          <a:extLst>
            <a:ext uri="{FF2B5EF4-FFF2-40B4-BE49-F238E27FC236}">
              <a16:creationId xmlns:a16="http://schemas.microsoft.com/office/drawing/2014/main" id="{7CADE8C1-055E-684D-8498-7FADE75F4BD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634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18</xdr:row>
      <xdr:rowOff>0</xdr:rowOff>
    </xdr:from>
    <xdr:ext cx="9525" cy="9525"/>
    <xdr:pic>
      <xdr:nvPicPr>
        <xdr:cNvPr id="713" name="Picture 712" descr="http://www.abs.gov.au/icons/ecblank.gif">
          <a:extLst>
            <a:ext uri="{FF2B5EF4-FFF2-40B4-BE49-F238E27FC236}">
              <a16:creationId xmlns:a16="http://schemas.microsoft.com/office/drawing/2014/main" id="{B82D8CCA-D35F-364B-82D9-84304E91D5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634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18</xdr:row>
      <xdr:rowOff>0</xdr:rowOff>
    </xdr:from>
    <xdr:ext cx="9525" cy="9525"/>
    <xdr:pic>
      <xdr:nvPicPr>
        <xdr:cNvPr id="714" name="Picture 713" descr="http://www.abs.gov.au/icons/ecblank.gif">
          <a:extLst>
            <a:ext uri="{FF2B5EF4-FFF2-40B4-BE49-F238E27FC236}">
              <a16:creationId xmlns:a16="http://schemas.microsoft.com/office/drawing/2014/main" id="{FD825606-9962-6048-AE52-55023629D1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634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18</xdr:row>
      <xdr:rowOff>0</xdr:rowOff>
    </xdr:from>
    <xdr:ext cx="9525" cy="9525"/>
    <xdr:pic>
      <xdr:nvPicPr>
        <xdr:cNvPr id="715" name="Picture 714" descr="http://www.abs.gov.au/icons/ecblank.gif">
          <a:extLst>
            <a:ext uri="{FF2B5EF4-FFF2-40B4-BE49-F238E27FC236}">
              <a16:creationId xmlns:a16="http://schemas.microsoft.com/office/drawing/2014/main" id="{C5FDF046-6EE6-7E46-86EF-B7A184F7265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634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18</xdr:row>
      <xdr:rowOff>0</xdr:rowOff>
    </xdr:from>
    <xdr:ext cx="9525" cy="9525"/>
    <xdr:pic>
      <xdr:nvPicPr>
        <xdr:cNvPr id="716" name="Picture 715" descr="http://www.abs.gov.au/icons/ecblank.gif">
          <a:extLst>
            <a:ext uri="{FF2B5EF4-FFF2-40B4-BE49-F238E27FC236}">
              <a16:creationId xmlns:a16="http://schemas.microsoft.com/office/drawing/2014/main" id="{B7C0BFDA-08F0-0F4A-9ED0-B3F8ACA31B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634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18</xdr:row>
      <xdr:rowOff>0</xdr:rowOff>
    </xdr:from>
    <xdr:ext cx="9525" cy="9525"/>
    <xdr:pic>
      <xdr:nvPicPr>
        <xdr:cNvPr id="717" name="Picture 716" descr="http://www.abs.gov.au/icons/ecblank.gif">
          <a:extLst>
            <a:ext uri="{FF2B5EF4-FFF2-40B4-BE49-F238E27FC236}">
              <a16:creationId xmlns:a16="http://schemas.microsoft.com/office/drawing/2014/main" id="{6B61BAA1-FB34-D747-A3D5-ADE3F1E03A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634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18</xdr:row>
      <xdr:rowOff>0</xdr:rowOff>
    </xdr:from>
    <xdr:ext cx="9525" cy="9525"/>
    <xdr:pic>
      <xdr:nvPicPr>
        <xdr:cNvPr id="718" name="Picture 717" descr="http://www.abs.gov.au/icons/ecblank.gif">
          <a:extLst>
            <a:ext uri="{FF2B5EF4-FFF2-40B4-BE49-F238E27FC236}">
              <a16:creationId xmlns:a16="http://schemas.microsoft.com/office/drawing/2014/main" id="{EADB4010-0CD4-9E4B-B56D-77F704E074B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634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18</xdr:row>
      <xdr:rowOff>0</xdr:rowOff>
    </xdr:from>
    <xdr:ext cx="9525" cy="9525"/>
    <xdr:pic>
      <xdr:nvPicPr>
        <xdr:cNvPr id="719" name="Picture 718" descr="http://www.abs.gov.au/icons/ecblank.gif">
          <a:extLst>
            <a:ext uri="{FF2B5EF4-FFF2-40B4-BE49-F238E27FC236}">
              <a16:creationId xmlns:a16="http://schemas.microsoft.com/office/drawing/2014/main" id="{355145C9-10DC-8C40-9CD6-34B275DE693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634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18</xdr:row>
      <xdr:rowOff>0</xdr:rowOff>
    </xdr:from>
    <xdr:ext cx="9525" cy="9525"/>
    <xdr:pic>
      <xdr:nvPicPr>
        <xdr:cNvPr id="720" name="Picture 719" descr="http://www.abs.gov.au/icons/ecblank.gif">
          <a:extLst>
            <a:ext uri="{FF2B5EF4-FFF2-40B4-BE49-F238E27FC236}">
              <a16:creationId xmlns:a16="http://schemas.microsoft.com/office/drawing/2014/main" id="{9B5C8AEF-AF9E-9E4C-891A-EEE243B7084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634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18</xdr:row>
      <xdr:rowOff>0</xdr:rowOff>
    </xdr:from>
    <xdr:ext cx="9525" cy="9525"/>
    <xdr:pic>
      <xdr:nvPicPr>
        <xdr:cNvPr id="721" name="Picture 720" descr="http://www.abs.gov.au/icons/ecblank.gif">
          <a:extLst>
            <a:ext uri="{FF2B5EF4-FFF2-40B4-BE49-F238E27FC236}">
              <a16:creationId xmlns:a16="http://schemas.microsoft.com/office/drawing/2014/main" id="{FFD3BDEE-BBD0-F040-A534-35D9AC93E2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634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18</xdr:row>
      <xdr:rowOff>0</xdr:rowOff>
    </xdr:from>
    <xdr:ext cx="9525" cy="9525"/>
    <xdr:pic>
      <xdr:nvPicPr>
        <xdr:cNvPr id="722" name="Picture 721" descr="http://www.abs.gov.au/icons/ecblank.gif">
          <a:extLst>
            <a:ext uri="{FF2B5EF4-FFF2-40B4-BE49-F238E27FC236}">
              <a16:creationId xmlns:a16="http://schemas.microsoft.com/office/drawing/2014/main" id="{6867EA57-9776-A34A-84F0-A39458D7F4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634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18</xdr:row>
      <xdr:rowOff>0</xdr:rowOff>
    </xdr:from>
    <xdr:ext cx="9525" cy="9525"/>
    <xdr:pic>
      <xdr:nvPicPr>
        <xdr:cNvPr id="723" name="Picture 722" descr="http://www.abs.gov.au/icons/ecblank.gif">
          <a:extLst>
            <a:ext uri="{FF2B5EF4-FFF2-40B4-BE49-F238E27FC236}">
              <a16:creationId xmlns:a16="http://schemas.microsoft.com/office/drawing/2014/main" id="{7781AF68-3C7D-234B-A2CB-6EAE9A2B72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634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18</xdr:row>
      <xdr:rowOff>0</xdr:rowOff>
    </xdr:from>
    <xdr:ext cx="9525" cy="9525"/>
    <xdr:pic>
      <xdr:nvPicPr>
        <xdr:cNvPr id="724" name="Picture 723" descr="http://www.abs.gov.au/icons/ecblank.gif">
          <a:extLst>
            <a:ext uri="{FF2B5EF4-FFF2-40B4-BE49-F238E27FC236}">
              <a16:creationId xmlns:a16="http://schemas.microsoft.com/office/drawing/2014/main" id="{9E21CDD8-ACFF-304A-BF40-2665ABB558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634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18</xdr:row>
      <xdr:rowOff>0</xdr:rowOff>
    </xdr:from>
    <xdr:ext cx="9525" cy="9525"/>
    <xdr:pic>
      <xdr:nvPicPr>
        <xdr:cNvPr id="725" name="Picture 724" descr="http://www.abs.gov.au/icons/ecblank.gif">
          <a:extLst>
            <a:ext uri="{FF2B5EF4-FFF2-40B4-BE49-F238E27FC236}">
              <a16:creationId xmlns:a16="http://schemas.microsoft.com/office/drawing/2014/main" id="{F8089E90-A778-6349-AE56-A20663A9AD4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634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18</xdr:row>
      <xdr:rowOff>0</xdr:rowOff>
    </xdr:from>
    <xdr:ext cx="9525" cy="9525"/>
    <xdr:pic>
      <xdr:nvPicPr>
        <xdr:cNvPr id="726" name="Picture 725" descr="http://www.abs.gov.au/icons/ecblank.gif">
          <a:extLst>
            <a:ext uri="{FF2B5EF4-FFF2-40B4-BE49-F238E27FC236}">
              <a16:creationId xmlns:a16="http://schemas.microsoft.com/office/drawing/2014/main" id="{00B64FE8-5D7C-1142-A970-349DBE9779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634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18</xdr:row>
      <xdr:rowOff>0</xdr:rowOff>
    </xdr:from>
    <xdr:ext cx="9525" cy="9525"/>
    <xdr:pic>
      <xdr:nvPicPr>
        <xdr:cNvPr id="727" name="Picture 726" descr="http://www.abs.gov.au/icons/ecblank.gif">
          <a:extLst>
            <a:ext uri="{FF2B5EF4-FFF2-40B4-BE49-F238E27FC236}">
              <a16:creationId xmlns:a16="http://schemas.microsoft.com/office/drawing/2014/main" id="{BFBEBB4F-95D7-3E4D-992D-99090A5ACE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634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18</xdr:row>
      <xdr:rowOff>0</xdr:rowOff>
    </xdr:from>
    <xdr:ext cx="9525" cy="9525"/>
    <xdr:pic>
      <xdr:nvPicPr>
        <xdr:cNvPr id="728" name="Picture 727" descr="http://www.abs.gov.au/icons/ecblank.gif">
          <a:extLst>
            <a:ext uri="{FF2B5EF4-FFF2-40B4-BE49-F238E27FC236}">
              <a16:creationId xmlns:a16="http://schemas.microsoft.com/office/drawing/2014/main" id="{DC8869CD-A9F5-DE43-9FCC-EA1B665A13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634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18</xdr:row>
      <xdr:rowOff>0</xdr:rowOff>
    </xdr:from>
    <xdr:ext cx="9525" cy="9525"/>
    <xdr:pic>
      <xdr:nvPicPr>
        <xdr:cNvPr id="729" name="Picture 728" descr="http://www.abs.gov.au/icons/ecblank.gif">
          <a:extLst>
            <a:ext uri="{FF2B5EF4-FFF2-40B4-BE49-F238E27FC236}">
              <a16:creationId xmlns:a16="http://schemas.microsoft.com/office/drawing/2014/main" id="{797A5CA6-603B-2143-B2A5-1FA88B7A50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63400" y="351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Users/geofflatimer/Documents/Ascend/1.ASCEND/Projects/Blue%20Environment/12.%20National%20waste%20data%20cycle%202019%20to%202022/Working/HWiA/National%20hazwaste%20data%20collation%202019-20%20-%20HWiA%20v5%20(Qld%20trend%20adjustment)%20and%20flows%20v4.xlsx?1121F9A2" TargetMode="External"/><Relationship Id="rId1" Type="http://schemas.openxmlformats.org/officeDocument/2006/relationships/externalLinkPath" Target="file:///\\1121F9A2\National%20hazwaste%20data%20collation%202019-20%20-%20HWiA%20v5%20(Qld%20trend%20adjustment)%20and%20flows%20v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ap data"/>
    </sheetNames>
    <sheetDataSet>
      <sheetData sheetId="0" refreshError="1"/>
    </sheetDataSet>
  </externalBook>
</externalLink>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bin"/><Relationship Id="rId1" Type="http://schemas.openxmlformats.org/officeDocument/2006/relationships/hyperlink" Target="applewebdata://FE6A70A5-3F31-4642-BA9D-649A650C9EF7/" TargetMode="External"/><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C763AB-FB88-4BC4-8A23-FB646C8DC414}">
  <dimension ref="A1:W53"/>
  <sheetViews>
    <sheetView tabSelected="1" zoomScale="90" zoomScaleNormal="90" workbookViewId="0">
      <pane ySplit="8" topLeftCell="A9" activePane="bottomLeft" state="frozen"/>
      <selection pane="bottomLeft" activeCell="A9" sqref="A9"/>
    </sheetView>
  </sheetViews>
  <sheetFormatPr defaultColWidth="9.140625" defaultRowHeight="12.75"/>
  <cols>
    <col min="1" max="1" width="2.28515625" style="270" customWidth="1"/>
    <col min="2" max="2" width="25.42578125" style="270" customWidth="1"/>
    <col min="3" max="4" width="12.85546875" style="270" customWidth="1"/>
    <col min="5" max="6" width="9" style="270" customWidth="1"/>
    <col min="7" max="7" width="9.85546875" style="270" customWidth="1"/>
    <col min="8" max="8" width="9.42578125" style="270" customWidth="1"/>
    <col min="9" max="14" width="9" style="270" customWidth="1"/>
    <col min="15" max="16384" width="9.140625" style="270"/>
  </cols>
  <sheetData>
    <row r="1" spans="1:22" s="261" customFormat="1" ht="18.75">
      <c r="A1" s="260" t="s">
        <v>386</v>
      </c>
    </row>
    <row r="2" spans="1:22" s="262" customFormat="1" ht="13.5" customHeight="1">
      <c r="B2" s="263" t="s">
        <v>387</v>
      </c>
      <c r="C2" s="733">
        <v>44413</v>
      </c>
      <c r="D2" s="733"/>
      <c r="E2" s="733"/>
      <c r="F2" s="733"/>
      <c r="G2" s="733"/>
      <c r="H2" s="733"/>
      <c r="J2" s="264" t="s">
        <v>388</v>
      </c>
    </row>
    <row r="3" spans="1:22" s="262" customFormat="1" ht="13.5" customHeight="1">
      <c r="B3" s="263" t="s">
        <v>389</v>
      </c>
      <c r="C3" s="734" t="s">
        <v>783</v>
      </c>
      <c r="D3" s="735"/>
      <c r="E3" s="735"/>
      <c r="F3" s="735"/>
      <c r="G3" s="735"/>
      <c r="H3" s="735"/>
      <c r="J3" s="265" t="s">
        <v>390</v>
      </c>
      <c r="K3" s="266" t="s">
        <v>391</v>
      </c>
    </row>
    <row r="4" spans="1:22" s="262" customFormat="1" ht="13.5" customHeight="1">
      <c r="B4" s="263" t="s">
        <v>392</v>
      </c>
      <c r="C4" s="733" t="s">
        <v>406</v>
      </c>
      <c r="D4" s="733"/>
      <c r="E4" s="733"/>
      <c r="F4" s="733"/>
      <c r="G4" s="733"/>
      <c r="H4" s="733"/>
      <c r="J4" s="267" t="s">
        <v>393</v>
      </c>
      <c r="K4" s="266" t="s">
        <v>394</v>
      </c>
    </row>
    <row r="5" spans="1:22" s="262" customFormat="1" ht="13.5" customHeight="1">
      <c r="B5" s="263" t="s">
        <v>395</v>
      </c>
      <c r="C5" s="733" t="s">
        <v>407</v>
      </c>
      <c r="D5" s="733"/>
      <c r="E5" s="733"/>
      <c r="F5" s="733"/>
      <c r="G5" s="733"/>
      <c r="H5" s="733"/>
      <c r="J5" s="268" t="s">
        <v>396</v>
      </c>
      <c r="K5" s="266" t="s">
        <v>397</v>
      </c>
    </row>
    <row r="6" spans="1:22" s="262" customFormat="1" ht="13.5" customHeight="1">
      <c r="B6" s="267" t="s">
        <v>398</v>
      </c>
      <c r="C6" s="733" t="s">
        <v>723</v>
      </c>
      <c r="D6" s="733"/>
      <c r="E6" s="733"/>
      <c r="F6" s="733"/>
      <c r="G6" s="733"/>
      <c r="H6" s="733"/>
    </row>
    <row r="7" spans="1:22" s="262" customFormat="1" ht="13.5" customHeight="1">
      <c r="B7" s="267" t="s">
        <v>399</v>
      </c>
      <c r="C7" s="733" t="s">
        <v>722</v>
      </c>
      <c r="D7" s="733"/>
      <c r="E7" s="733"/>
      <c r="F7" s="733"/>
      <c r="G7" s="733"/>
      <c r="H7" s="733"/>
      <c r="J7" s="266" t="s">
        <v>400</v>
      </c>
    </row>
    <row r="8" spans="1:22" s="269" customFormat="1" ht="6" customHeight="1"/>
    <row r="9" spans="1:22" s="693" customFormat="1" ht="15.75">
      <c r="A9" s="691" t="s">
        <v>401</v>
      </c>
      <c r="B9" s="692"/>
      <c r="C9" s="691"/>
      <c r="D9" s="691"/>
      <c r="E9" s="691"/>
      <c r="F9" s="691"/>
      <c r="G9" s="691"/>
      <c r="H9" s="691"/>
      <c r="I9" s="691"/>
      <c r="J9" s="691"/>
      <c r="K9" s="691"/>
      <c r="L9" s="691"/>
      <c r="M9" s="691"/>
      <c r="N9" s="691"/>
      <c r="O9" s="691"/>
      <c r="P9" s="691"/>
      <c r="Q9" s="691"/>
      <c r="R9" s="691"/>
      <c r="S9" s="691"/>
      <c r="T9" s="691"/>
    </row>
    <row r="10" spans="1:22" ht="12.75" customHeight="1">
      <c r="B10" s="739" t="s">
        <v>769</v>
      </c>
      <c r="C10" s="739"/>
      <c r="D10" s="739"/>
      <c r="E10" s="739"/>
      <c r="F10" s="739"/>
      <c r="G10" s="739"/>
      <c r="H10" s="739"/>
      <c r="I10" s="739"/>
      <c r="J10" s="739"/>
      <c r="K10" s="739"/>
      <c r="L10" s="739"/>
      <c r="M10" s="739"/>
      <c r="N10" s="739"/>
      <c r="O10" s="739"/>
      <c r="P10" s="739"/>
      <c r="Q10" s="739"/>
      <c r="R10" s="739"/>
      <c r="S10" s="739"/>
      <c r="T10" s="739"/>
    </row>
    <row r="11" spans="1:22">
      <c r="B11" s="739"/>
      <c r="C11" s="739"/>
      <c r="D11" s="739"/>
      <c r="E11" s="739"/>
      <c r="F11" s="739"/>
      <c r="G11" s="739"/>
      <c r="H11" s="739"/>
      <c r="I11" s="739"/>
      <c r="J11" s="739"/>
      <c r="K11" s="739"/>
      <c r="L11" s="739"/>
      <c r="M11" s="739"/>
      <c r="N11" s="739"/>
      <c r="O11" s="739"/>
      <c r="P11" s="739"/>
      <c r="Q11" s="739"/>
      <c r="R11" s="739"/>
      <c r="S11" s="739"/>
      <c r="T11" s="739"/>
    </row>
    <row r="12" spans="1:22" ht="119.25" customHeight="1">
      <c r="B12" s="739"/>
      <c r="C12" s="739"/>
      <c r="D12" s="739"/>
      <c r="E12" s="739"/>
      <c r="F12" s="739"/>
      <c r="G12" s="739"/>
      <c r="H12" s="739"/>
      <c r="I12" s="739"/>
      <c r="J12" s="739"/>
      <c r="K12" s="739"/>
      <c r="L12" s="739"/>
      <c r="M12" s="739"/>
      <c r="N12" s="739"/>
      <c r="O12" s="739"/>
      <c r="P12" s="739"/>
      <c r="Q12" s="739"/>
      <c r="R12" s="739"/>
      <c r="S12" s="739"/>
      <c r="T12" s="739"/>
    </row>
    <row r="13" spans="1:22" s="271" customFormat="1" ht="6" customHeight="1"/>
    <row r="14" spans="1:22" s="271" customFormat="1">
      <c r="B14" s="272" t="s">
        <v>402</v>
      </c>
    </row>
    <row r="15" spans="1:22">
      <c r="B15" s="273" t="s">
        <v>403</v>
      </c>
      <c r="C15" s="740" t="s">
        <v>760</v>
      </c>
      <c r="D15" s="740"/>
      <c r="E15" s="740" t="s">
        <v>350</v>
      </c>
      <c r="F15" s="740"/>
      <c r="G15" s="740"/>
      <c r="H15" s="740"/>
      <c r="I15" s="740"/>
      <c r="J15" s="740"/>
      <c r="K15" s="740"/>
      <c r="L15" s="740"/>
      <c r="M15" s="740"/>
      <c r="N15" s="740"/>
      <c r="O15" s="740"/>
      <c r="P15" s="740"/>
      <c r="Q15" s="740"/>
      <c r="R15" s="740"/>
      <c r="S15" s="740"/>
      <c r="T15" s="740"/>
    </row>
    <row r="16" spans="1:22" ht="15">
      <c r="B16" s="684" t="s">
        <v>753</v>
      </c>
      <c r="C16" s="741" t="s">
        <v>754</v>
      </c>
      <c r="D16" s="741"/>
      <c r="E16" s="737" t="s">
        <v>761</v>
      </c>
      <c r="F16" s="737"/>
      <c r="G16" s="737"/>
      <c r="H16" s="737"/>
      <c r="I16" s="737"/>
      <c r="J16" s="737"/>
      <c r="K16" s="737"/>
      <c r="L16" s="737"/>
      <c r="M16" s="737"/>
      <c r="N16" s="737"/>
      <c r="O16" s="737"/>
      <c r="P16" s="737"/>
      <c r="Q16" s="737"/>
      <c r="R16" s="737"/>
      <c r="S16" s="737"/>
      <c r="T16" s="737"/>
      <c r="U16" s="274"/>
      <c r="V16" s="274"/>
    </row>
    <row r="17" spans="1:23" ht="15">
      <c r="B17" s="685" t="s">
        <v>439</v>
      </c>
      <c r="C17" s="736" t="s">
        <v>439</v>
      </c>
      <c r="D17" s="736"/>
      <c r="E17" s="737" t="s">
        <v>762</v>
      </c>
      <c r="F17" s="737"/>
      <c r="G17" s="737"/>
      <c r="H17" s="737"/>
      <c r="I17" s="737"/>
      <c r="J17" s="737"/>
      <c r="K17" s="737"/>
      <c r="L17" s="737"/>
      <c r="M17" s="737"/>
      <c r="N17" s="737"/>
      <c r="O17" s="737"/>
      <c r="P17" s="737"/>
      <c r="Q17" s="737"/>
      <c r="R17" s="737"/>
      <c r="S17" s="737"/>
      <c r="T17" s="737"/>
      <c r="U17" s="274"/>
      <c r="V17" s="274"/>
    </row>
    <row r="18" spans="1:23" ht="15">
      <c r="B18" s="742" t="s">
        <v>768</v>
      </c>
      <c r="C18" s="738" t="s">
        <v>138</v>
      </c>
      <c r="D18" s="738"/>
      <c r="E18" s="737" t="s">
        <v>763</v>
      </c>
      <c r="F18" s="737"/>
      <c r="G18" s="737"/>
      <c r="H18" s="737"/>
      <c r="I18" s="737"/>
      <c r="J18" s="737"/>
      <c r="K18" s="737"/>
      <c r="L18" s="737"/>
      <c r="M18" s="737"/>
      <c r="N18" s="737"/>
      <c r="O18" s="737"/>
      <c r="P18" s="737"/>
      <c r="Q18" s="737"/>
      <c r="R18" s="737"/>
      <c r="S18" s="737"/>
      <c r="T18" s="737"/>
      <c r="U18" s="274"/>
      <c r="V18" s="274"/>
    </row>
    <row r="19" spans="1:23" ht="15">
      <c r="B19" s="742"/>
      <c r="C19" s="738" t="s">
        <v>734</v>
      </c>
      <c r="D19" s="738"/>
      <c r="E19" s="737" t="s">
        <v>764</v>
      </c>
      <c r="F19" s="737"/>
      <c r="G19" s="737"/>
      <c r="H19" s="737"/>
      <c r="I19" s="737"/>
      <c r="J19" s="737"/>
      <c r="K19" s="737"/>
      <c r="L19" s="737"/>
      <c r="M19" s="737"/>
      <c r="N19" s="737"/>
      <c r="O19" s="737"/>
      <c r="P19" s="737"/>
      <c r="Q19" s="737"/>
      <c r="R19" s="737"/>
      <c r="S19" s="737"/>
      <c r="T19" s="737"/>
      <c r="U19" s="274"/>
      <c r="V19" s="274"/>
    </row>
    <row r="20" spans="1:23" ht="15">
      <c r="B20" s="744" t="s">
        <v>755</v>
      </c>
      <c r="C20" s="745" t="s">
        <v>756</v>
      </c>
      <c r="D20" s="745"/>
      <c r="E20" s="737" t="s">
        <v>765</v>
      </c>
      <c r="F20" s="737"/>
      <c r="G20" s="737"/>
      <c r="H20" s="737"/>
      <c r="I20" s="737"/>
      <c r="J20" s="737"/>
      <c r="K20" s="737"/>
      <c r="L20" s="737"/>
      <c r="M20" s="737"/>
      <c r="N20" s="737"/>
      <c r="O20" s="737"/>
      <c r="P20" s="737"/>
      <c r="Q20" s="737"/>
      <c r="R20" s="737"/>
      <c r="S20" s="737"/>
      <c r="T20" s="737"/>
      <c r="U20" s="274"/>
      <c r="V20" s="274"/>
      <c r="W20" s="274"/>
    </row>
    <row r="21" spans="1:23" ht="15">
      <c r="B21" s="744"/>
      <c r="C21" s="745" t="s">
        <v>757</v>
      </c>
      <c r="D21" s="745"/>
      <c r="E21" s="737" t="s">
        <v>766</v>
      </c>
      <c r="F21" s="737"/>
      <c r="G21" s="737"/>
      <c r="H21" s="737"/>
      <c r="I21" s="737"/>
      <c r="J21" s="737"/>
      <c r="K21" s="737"/>
      <c r="L21" s="737"/>
      <c r="M21" s="737"/>
      <c r="N21" s="737"/>
      <c r="O21" s="737"/>
      <c r="P21" s="737"/>
      <c r="Q21" s="737"/>
      <c r="R21" s="737"/>
      <c r="S21" s="737"/>
      <c r="T21" s="737"/>
      <c r="U21" s="274"/>
      <c r="V21" s="274"/>
      <c r="W21" s="274"/>
    </row>
    <row r="22" spans="1:23" ht="15">
      <c r="B22" s="744"/>
      <c r="C22" s="746" t="s">
        <v>758</v>
      </c>
      <c r="D22" s="746"/>
      <c r="E22" s="737" t="s">
        <v>767</v>
      </c>
      <c r="F22" s="737"/>
      <c r="G22" s="737"/>
      <c r="H22" s="737"/>
      <c r="I22" s="737"/>
      <c r="J22" s="737"/>
      <c r="K22" s="737"/>
      <c r="L22" s="737"/>
      <c r="M22" s="737"/>
      <c r="N22" s="737"/>
      <c r="O22" s="737"/>
      <c r="P22" s="737"/>
      <c r="Q22" s="737"/>
      <c r="R22" s="737"/>
      <c r="S22" s="737"/>
      <c r="T22" s="737"/>
      <c r="U22" s="274"/>
      <c r="V22" s="274"/>
      <c r="W22" s="274"/>
    </row>
    <row r="23" spans="1:23" s="271" customFormat="1" ht="6" customHeight="1"/>
    <row r="24" spans="1:23" s="693" customFormat="1" ht="15.75">
      <c r="A24" s="691" t="s">
        <v>775</v>
      </c>
      <c r="B24" s="692"/>
      <c r="C24" s="691"/>
      <c r="D24" s="691"/>
      <c r="E24" s="691"/>
      <c r="F24" s="691"/>
      <c r="G24" s="691"/>
      <c r="H24" s="691"/>
      <c r="I24" s="691"/>
      <c r="J24" s="691"/>
      <c r="K24" s="691"/>
      <c r="L24" s="691"/>
      <c r="M24" s="691"/>
      <c r="N24" s="691"/>
      <c r="O24" s="691"/>
      <c r="P24" s="691"/>
      <c r="Q24" s="691"/>
      <c r="R24" s="691"/>
      <c r="S24" s="691"/>
      <c r="T24" s="691"/>
    </row>
    <row r="25" spans="1:23" ht="12.75" customHeight="1">
      <c r="B25" s="719" t="s">
        <v>776</v>
      </c>
      <c r="C25" s="716" t="s">
        <v>777</v>
      </c>
      <c r="D25" s="716" t="s">
        <v>779</v>
      </c>
      <c r="F25" s="716" t="s">
        <v>778</v>
      </c>
      <c r="G25" s="271"/>
      <c r="H25" s="271"/>
      <c r="I25" s="271"/>
      <c r="J25" s="271"/>
      <c r="K25" s="271"/>
      <c r="L25" s="271"/>
      <c r="M25" s="271"/>
      <c r="N25" s="271"/>
      <c r="O25" s="271"/>
      <c r="P25" s="271"/>
      <c r="Q25" s="271"/>
      <c r="R25" s="271"/>
      <c r="S25" s="271"/>
      <c r="T25" s="271"/>
    </row>
    <row r="26" spans="1:23" ht="12" customHeight="1">
      <c r="B26" s="718">
        <v>44007</v>
      </c>
      <c r="C26" s="717" t="s">
        <v>722</v>
      </c>
      <c r="D26" s="747" t="s">
        <v>780</v>
      </c>
      <c r="E26" s="747"/>
      <c r="F26" s="747" t="s">
        <v>781</v>
      </c>
      <c r="G26" s="747"/>
      <c r="H26" s="747"/>
      <c r="I26" s="747"/>
      <c r="J26" s="747"/>
      <c r="K26" s="747"/>
      <c r="L26" s="747"/>
      <c r="M26" s="747"/>
      <c r="N26" s="747"/>
      <c r="O26" s="747"/>
      <c r="P26" s="747"/>
      <c r="Q26" s="747"/>
      <c r="R26" s="747"/>
      <c r="S26" s="747"/>
      <c r="T26" s="747"/>
    </row>
    <row r="27" spans="1:23" ht="12" customHeight="1">
      <c r="B27" s="718">
        <v>44028</v>
      </c>
      <c r="C27" s="717" t="s">
        <v>722</v>
      </c>
      <c r="D27" s="747" t="s">
        <v>780</v>
      </c>
      <c r="E27" s="747"/>
      <c r="F27" s="747" t="s">
        <v>782</v>
      </c>
      <c r="G27" s="747"/>
      <c r="H27" s="747"/>
      <c r="I27" s="747"/>
      <c r="J27" s="747"/>
      <c r="K27" s="747"/>
      <c r="L27" s="747"/>
      <c r="M27" s="747"/>
      <c r="N27" s="747"/>
      <c r="O27" s="747"/>
      <c r="P27" s="747"/>
      <c r="Q27" s="747"/>
      <c r="R27" s="747"/>
      <c r="S27" s="747"/>
      <c r="T27" s="747"/>
    </row>
    <row r="28" spans="1:23" ht="12" customHeight="1">
      <c r="B28" s="732" t="s">
        <v>787</v>
      </c>
      <c r="C28" s="717" t="s">
        <v>723</v>
      </c>
      <c r="D28" s="731" t="s">
        <v>788</v>
      </c>
      <c r="E28" s="731"/>
      <c r="F28" s="747" t="s">
        <v>789</v>
      </c>
      <c r="G28" s="747"/>
      <c r="H28" s="747"/>
      <c r="I28" s="747"/>
      <c r="J28" s="747"/>
      <c r="K28" s="747"/>
      <c r="L28" s="747"/>
      <c r="M28" s="747"/>
      <c r="N28" s="747"/>
      <c r="O28" s="747"/>
      <c r="P28" s="747"/>
      <c r="Q28" s="747"/>
      <c r="R28" s="747"/>
      <c r="S28" s="747"/>
      <c r="T28" s="747"/>
    </row>
    <row r="29" spans="1:23" ht="12" customHeight="1">
      <c r="B29" s="732" t="s">
        <v>787</v>
      </c>
      <c r="C29" s="717" t="s">
        <v>722</v>
      </c>
      <c r="D29" s="747" t="s">
        <v>780</v>
      </c>
      <c r="E29" s="747"/>
      <c r="F29" s="747" t="s">
        <v>790</v>
      </c>
      <c r="G29" s="747"/>
      <c r="H29" s="747"/>
      <c r="I29" s="747"/>
      <c r="J29" s="747"/>
      <c r="K29" s="747"/>
      <c r="L29" s="747"/>
      <c r="M29" s="747"/>
      <c r="N29" s="747"/>
      <c r="O29" s="747"/>
      <c r="P29" s="747"/>
      <c r="Q29" s="747"/>
      <c r="R29" s="747"/>
      <c r="S29" s="747"/>
      <c r="T29" s="747"/>
    </row>
    <row r="30" spans="1:23" ht="5.25" customHeight="1">
      <c r="B30" s="271"/>
      <c r="C30" s="271"/>
      <c r="D30" s="271"/>
      <c r="E30" s="271"/>
      <c r="F30" s="271"/>
      <c r="G30" s="271"/>
      <c r="H30" s="271"/>
      <c r="I30" s="271"/>
      <c r="J30" s="271"/>
      <c r="K30" s="271"/>
      <c r="L30" s="271"/>
      <c r="M30" s="271"/>
      <c r="N30" s="271"/>
      <c r="O30" s="271"/>
      <c r="P30" s="271"/>
      <c r="Q30" s="271"/>
      <c r="R30" s="271"/>
      <c r="S30" s="271"/>
      <c r="T30" s="271"/>
    </row>
    <row r="31" spans="1:23" s="693" customFormat="1" ht="15.75">
      <c r="A31" s="691" t="s">
        <v>404</v>
      </c>
      <c r="B31" s="692"/>
      <c r="C31" s="691"/>
      <c r="D31" s="691"/>
      <c r="E31" s="691"/>
      <c r="F31" s="691"/>
      <c r="G31" s="691"/>
      <c r="H31" s="691"/>
      <c r="I31" s="691"/>
      <c r="J31" s="691"/>
      <c r="K31" s="691"/>
      <c r="L31" s="691"/>
      <c r="M31" s="691"/>
      <c r="N31" s="691"/>
      <c r="O31" s="691"/>
      <c r="P31" s="691"/>
      <c r="Q31" s="691"/>
      <c r="R31" s="691"/>
      <c r="S31" s="691"/>
      <c r="T31" s="691"/>
    </row>
    <row r="32" spans="1:23" ht="12.75" customHeight="1">
      <c r="B32" s="743" t="s">
        <v>405</v>
      </c>
      <c r="C32" s="743"/>
      <c r="D32" s="743"/>
      <c r="E32" s="743"/>
      <c r="F32" s="743"/>
      <c r="G32" s="743"/>
      <c r="H32" s="743"/>
      <c r="I32" s="743"/>
      <c r="J32" s="743"/>
      <c r="K32" s="743"/>
      <c r="L32" s="743"/>
      <c r="M32" s="743"/>
      <c r="N32" s="743"/>
      <c r="O32" s="743"/>
      <c r="P32" s="743"/>
      <c r="Q32" s="743"/>
      <c r="R32" s="743"/>
      <c r="S32" s="743"/>
      <c r="T32" s="743"/>
    </row>
    <row r="33" spans="2:20">
      <c r="B33" s="743"/>
      <c r="C33" s="743"/>
      <c r="D33" s="743"/>
      <c r="E33" s="743"/>
      <c r="F33" s="743"/>
      <c r="G33" s="743"/>
      <c r="H33" s="743"/>
      <c r="I33" s="743"/>
      <c r="J33" s="743"/>
      <c r="K33" s="743"/>
      <c r="L33" s="743"/>
      <c r="M33" s="743"/>
      <c r="N33" s="743"/>
      <c r="O33" s="743"/>
      <c r="P33" s="743"/>
      <c r="Q33" s="743"/>
      <c r="R33" s="743"/>
      <c r="S33" s="743"/>
      <c r="T33" s="743"/>
    </row>
    <row r="34" spans="2:20">
      <c r="B34" s="743"/>
      <c r="C34" s="743"/>
      <c r="D34" s="743"/>
      <c r="E34" s="743"/>
      <c r="F34" s="743"/>
      <c r="G34" s="743"/>
      <c r="H34" s="743"/>
      <c r="I34" s="743"/>
      <c r="J34" s="743"/>
      <c r="K34" s="743"/>
      <c r="L34" s="743"/>
      <c r="M34" s="743"/>
      <c r="N34" s="743"/>
      <c r="O34" s="743"/>
      <c r="P34" s="743"/>
      <c r="Q34" s="743"/>
      <c r="R34" s="743"/>
      <c r="S34" s="743"/>
      <c r="T34" s="743"/>
    </row>
    <row r="35" spans="2:20" s="269" customFormat="1" ht="15"/>
    <row r="38" spans="2:20" ht="15">
      <c r="J38" s="275"/>
    </row>
    <row r="39" spans="2:20" ht="15">
      <c r="J39" s="275"/>
    </row>
    <row r="40" spans="2:20" ht="15">
      <c r="J40" s="275"/>
    </row>
    <row r="41" spans="2:20" ht="15">
      <c r="J41" s="275"/>
    </row>
    <row r="42" spans="2:20" ht="15">
      <c r="J42" s="275"/>
    </row>
    <row r="48" spans="2:20" ht="15">
      <c r="K48" s="276"/>
      <c r="L48" s="277"/>
      <c r="M48" s="277"/>
    </row>
    <row r="49" spans="11:17" ht="15">
      <c r="K49" s="278"/>
      <c r="L49" s="279"/>
      <c r="M49" s="277"/>
      <c r="N49" s="277"/>
      <c r="O49" s="277"/>
    </row>
    <row r="52" spans="11:17" ht="15">
      <c r="M52" s="277"/>
      <c r="N52" s="277"/>
      <c r="O52" s="277"/>
      <c r="P52" s="277"/>
    </row>
    <row r="53" spans="11:17" ht="15">
      <c r="K53" s="280"/>
      <c r="L53" s="279"/>
      <c r="M53" s="277"/>
      <c r="P53" s="277"/>
      <c r="Q53" s="277"/>
    </row>
  </sheetData>
  <mergeCells count="33">
    <mergeCell ref="B32:T34"/>
    <mergeCell ref="B20:B22"/>
    <mergeCell ref="C20:D20"/>
    <mergeCell ref="E20:T20"/>
    <mergeCell ref="C21:D21"/>
    <mergeCell ref="E21:T21"/>
    <mergeCell ref="C22:D22"/>
    <mergeCell ref="E22:T22"/>
    <mergeCell ref="D26:E26"/>
    <mergeCell ref="F26:T26"/>
    <mergeCell ref="D27:E27"/>
    <mergeCell ref="F27:T27"/>
    <mergeCell ref="D29:E29"/>
    <mergeCell ref="F28:T28"/>
    <mergeCell ref="F29:T29"/>
    <mergeCell ref="C17:D17"/>
    <mergeCell ref="E17:T17"/>
    <mergeCell ref="C18:D18"/>
    <mergeCell ref="B10:T12"/>
    <mergeCell ref="C15:D15"/>
    <mergeCell ref="E15:T15"/>
    <mergeCell ref="C16:D16"/>
    <mergeCell ref="E16:T16"/>
    <mergeCell ref="B18:B19"/>
    <mergeCell ref="E18:T18"/>
    <mergeCell ref="C19:D19"/>
    <mergeCell ref="E19:T19"/>
    <mergeCell ref="C7:H7"/>
    <mergeCell ref="C2:H2"/>
    <mergeCell ref="C3:H3"/>
    <mergeCell ref="C4:H4"/>
    <mergeCell ref="C5:H5"/>
    <mergeCell ref="C6:H6"/>
  </mergeCells>
  <pageMargins left="0.51181102362204722" right="0.51181102362204722" top="0.55118110236220474" bottom="0.55118110236220474" header="0" footer="0"/>
  <pageSetup paperSize="9"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07B675-9D09-4E56-89E7-ACC20BEFD0E3}">
  <sheetPr>
    <tabColor theme="1"/>
  </sheetPr>
  <dimension ref="A1:ET288"/>
  <sheetViews>
    <sheetView zoomScale="80" zoomScaleNormal="80" workbookViewId="0">
      <pane xSplit="1" ySplit="8" topLeftCell="B9" activePane="bottomRight" state="frozen"/>
      <selection pane="topRight" activeCell="B1" sqref="B1"/>
      <selection pane="bottomLeft" activeCell="A8" sqref="A8"/>
      <selection pane="bottomRight" activeCell="B9" sqref="B9"/>
    </sheetView>
  </sheetViews>
  <sheetFormatPr defaultColWidth="9.140625" defaultRowHeight="12.75"/>
  <cols>
    <col min="1" max="1" width="20.140625" style="3" customWidth="1"/>
    <col min="2" max="2" width="2.140625" style="3" customWidth="1"/>
    <col min="3" max="7" width="10" style="3" customWidth="1"/>
    <col min="8" max="8" width="10.7109375" style="3" customWidth="1"/>
    <col min="9" max="9" width="9.7109375" style="3" customWidth="1"/>
    <col min="10" max="11" width="9.85546875" style="3" bestFit="1" customWidth="1"/>
    <col min="12" max="12" width="9.85546875" style="3" customWidth="1"/>
    <col min="13" max="13" width="9.85546875" style="3" bestFit="1" customWidth="1"/>
    <col min="14" max="16" width="9.85546875" style="3" customWidth="1"/>
    <col min="17" max="17" width="2.140625" style="3" customWidth="1"/>
    <col min="18" max="22" width="9.140625" style="3"/>
    <col min="23" max="23" width="11" style="3" customWidth="1"/>
    <col min="24" max="24" width="9.140625" style="3"/>
    <col min="25" max="26" width="9.85546875" style="3" bestFit="1" customWidth="1"/>
    <col min="27" max="27" width="9.85546875" style="3" customWidth="1"/>
    <col min="28" max="28" width="9.85546875" style="3" bestFit="1" customWidth="1"/>
    <col min="29" max="31" width="9.85546875" style="3" customWidth="1"/>
    <col min="32" max="32" width="2.140625" style="3" customWidth="1"/>
    <col min="33" max="34" width="9.7109375" style="3" customWidth="1"/>
    <col min="35" max="35" width="11.42578125" style="3" bestFit="1" customWidth="1"/>
    <col min="36" max="36" width="12.140625" style="3" customWidth="1"/>
    <col min="37" max="40" width="9.85546875" style="3" bestFit="1" customWidth="1"/>
    <col min="41" max="41" width="10.85546875" style="3" customWidth="1"/>
    <col min="42" max="42" width="9.85546875" style="3" customWidth="1"/>
    <col min="43" max="43" width="9.85546875" style="3" bestFit="1" customWidth="1"/>
    <col min="44" max="46" width="9.85546875" style="3" customWidth="1"/>
    <col min="47" max="47" width="2.140625" style="3" customWidth="1"/>
    <col min="48" max="54" width="9.140625" style="3"/>
    <col min="55" max="55" width="13.42578125" style="3" customWidth="1"/>
    <col min="56" max="56" width="9.85546875" style="3" bestFit="1" customWidth="1"/>
    <col min="57" max="57" width="9.85546875" style="3" customWidth="1"/>
    <col min="58" max="58" width="9.85546875" style="3" bestFit="1" customWidth="1"/>
    <col min="59" max="61" width="9.85546875" style="3" customWidth="1"/>
    <col min="62" max="62" width="2.140625" style="3" customWidth="1"/>
    <col min="63" max="63" width="10" style="3" customWidth="1"/>
    <col min="64" max="71" width="9.85546875" style="3" bestFit="1" customWidth="1"/>
    <col min="72" max="72" width="9.85546875" style="3" customWidth="1"/>
    <col min="73" max="73" width="9.85546875" style="3" bestFit="1" customWidth="1"/>
    <col min="74" max="76" width="9.85546875" style="3" customWidth="1"/>
    <col min="77" max="77" width="2.140625" style="3" customWidth="1"/>
    <col min="78" max="84" width="9.140625" style="3"/>
    <col min="85" max="86" width="9.85546875" style="3" bestFit="1" customWidth="1"/>
    <col min="87" max="87" width="9.85546875" style="3" customWidth="1"/>
    <col min="88" max="88" width="9.85546875" style="3" bestFit="1" customWidth="1"/>
    <col min="89" max="91" width="9.85546875" style="3" customWidth="1"/>
    <col min="92" max="92" width="2.140625" style="3" customWidth="1"/>
    <col min="93" max="99" width="9.140625" style="3"/>
    <col min="100" max="101" width="9.85546875" style="3" bestFit="1" customWidth="1"/>
    <col min="102" max="102" width="9.85546875" style="3" customWidth="1"/>
    <col min="103" max="103" width="9.85546875" style="3" bestFit="1" customWidth="1"/>
    <col min="104" max="106" width="9.85546875" style="3" customWidth="1"/>
    <col min="107" max="107" width="2.140625" style="3" customWidth="1"/>
    <col min="108" max="108" width="10.140625" style="3" bestFit="1" customWidth="1"/>
    <col min="109" max="109" width="9.85546875" style="3" bestFit="1" customWidth="1"/>
    <col min="110" max="110" width="9.42578125" style="3" customWidth="1"/>
    <col min="111" max="111" width="9.85546875" style="3" bestFit="1" customWidth="1"/>
    <col min="112" max="114" width="9.7109375" style="3" customWidth="1"/>
    <col min="115" max="116" width="9.85546875" style="3" bestFit="1" customWidth="1"/>
    <col min="117" max="117" width="9.85546875" style="3" customWidth="1"/>
    <col min="118" max="118" width="9.85546875" style="3" bestFit="1" customWidth="1"/>
    <col min="119" max="121" width="9.85546875" style="3" customWidth="1"/>
    <col min="122" max="122" width="2.140625" style="3" customWidth="1"/>
    <col min="123" max="129" width="9.140625" style="3"/>
    <col min="130" max="131" width="9.85546875" style="3" bestFit="1" customWidth="1"/>
    <col min="132" max="132" width="9.85546875" style="3" customWidth="1"/>
    <col min="133" max="133" width="9.85546875" style="3" bestFit="1" customWidth="1"/>
    <col min="134" max="136" width="9.85546875" style="3" customWidth="1"/>
    <col min="137" max="16384" width="9.140625" style="3"/>
  </cols>
  <sheetData>
    <row r="1" spans="1:139" s="23" customFormat="1" ht="18.75">
      <c r="A1" s="2" t="s">
        <v>759</v>
      </c>
      <c r="H1" s="38"/>
      <c r="W1" s="38"/>
    </row>
    <row r="2" spans="1:139" ht="15" customHeight="1">
      <c r="A2" s="585" t="s">
        <v>724</v>
      </c>
      <c r="C2" s="51" t="s">
        <v>88</v>
      </c>
      <c r="D2" s="13" t="s">
        <v>100</v>
      </c>
      <c r="E2" s="13"/>
      <c r="F2" s="13"/>
      <c r="G2" s="13"/>
      <c r="H2" s="13"/>
      <c r="I2" s="13"/>
      <c r="J2" s="13"/>
      <c r="K2" s="13"/>
      <c r="L2" s="13"/>
      <c r="M2" s="13"/>
      <c r="N2" s="13"/>
      <c r="O2" s="13"/>
      <c r="P2" s="13"/>
      <c r="Q2" s="13"/>
      <c r="R2" s="13"/>
      <c r="S2" s="13"/>
      <c r="T2" s="52"/>
      <c r="U2" s="52"/>
      <c r="V2" s="52"/>
      <c r="X2" s="9"/>
      <c r="Y2" s="47" t="s">
        <v>90</v>
      </c>
      <c r="Z2" s="40" t="s">
        <v>93</v>
      </c>
      <c r="AA2" s="48" t="s">
        <v>136</v>
      </c>
      <c r="AB2" s="20"/>
      <c r="AC2" s="20"/>
      <c r="AD2" s="20"/>
      <c r="AE2" s="20"/>
      <c r="AF2" s="20"/>
      <c r="AG2" s="20"/>
      <c r="AH2" s="9"/>
      <c r="AI2" s="20"/>
      <c r="AJ2" s="45" t="s">
        <v>97</v>
      </c>
      <c r="AK2" s="48" t="s">
        <v>92</v>
      </c>
      <c r="AL2" s="20"/>
      <c r="AM2" s="20"/>
      <c r="AN2" s="20"/>
      <c r="AO2" s="20"/>
      <c r="AQ2" s="748" t="s">
        <v>130</v>
      </c>
      <c r="AR2" s="748"/>
      <c r="AS2" s="748"/>
      <c r="AT2" s="748"/>
      <c r="AU2" s="748"/>
      <c r="AV2" s="748"/>
      <c r="AW2" s="55" t="s">
        <v>128</v>
      </c>
      <c r="AX2" s="76" t="s">
        <v>132</v>
      </c>
      <c r="AY2" s="74"/>
      <c r="AZ2" s="52"/>
      <c r="BA2" s="52"/>
      <c r="BC2" s="246" t="s">
        <v>385</v>
      </c>
      <c r="BD2" s="76" t="s">
        <v>384</v>
      </c>
      <c r="BE2" s="74"/>
      <c r="BF2" s="52"/>
      <c r="BG2" s="52"/>
      <c r="BH2" s="52"/>
      <c r="BI2" s="52"/>
      <c r="BJ2" s="52"/>
      <c r="BK2" s="4"/>
      <c r="BL2" s="37"/>
      <c r="BM2" s="53"/>
      <c r="BN2" s="53"/>
      <c r="BO2" s="4"/>
      <c r="BP2" s="4"/>
      <c r="BQ2" s="4"/>
      <c r="BR2" s="4"/>
      <c r="BS2" s="4"/>
      <c r="BT2" s="4"/>
      <c r="BU2" s="4"/>
      <c r="BV2" s="4"/>
      <c r="BW2" s="4"/>
      <c r="BX2" s="4"/>
      <c r="BY2" s="17"/>
      <c r="BZ2" s="4"/>
      <c r="CA2" s="4"/>
      <c r="CB2" s="4"/>
      <c r="CC2" s="4"/>
      <c r="CD2" s="4"/>
      <c r="CE2" s="4"/>
      <c r="CF2" s="4"/>
      <c r="CG2" s="4"/>
      <c r="CH2" s="4"/>
      <c r="CI2" s="4"/>
      <c r="CN2" s="17"/>
      <c r="CO2" s="4"/>
      <c r="CP2" s="4"/>
      <c r="CQ2" s="4"/>
      <c r="CR2" s="4"/>
      <c r="CS2" s="4"/>
      <c r="CT2" s="4"/>
      <c r="CU2" s="4"/>
      <c r="CV2" s="4"/>
      <c r="CW2" s="4"/>
      <c r="CX2" s="4"/>
      <c r="CY2" s="4"/>
      <c r="CZ2" s="4"/>
      <c r="DA2" s="4"/>
      <c r="DB2" s="4"/>
      <c r="DC2" s="17"/>
      <c r="DD2" s="4"/>
      <c r="DE2" s="4"/>
      <c r="DF2" s="4"/>
      <c r="DG2" s="4"/>
      <c r="DH2" s="4"/>
      <c r="DI2" s="4"/>
      <c r="DJ2" s="4"/>
      <c r="DK2" s="4"/>
      <c r="DL2" s="4"/>
      <c r="DM2" s="4"/>
      <c r="DN2" s="4"/>
      <c r="DO2" s="4"/>
      <c r="DP2" s="4"/>
      <c r="DQ2" s="4"/>
      <c r="DR2" s="17"/>
      <c r="DS2" s="4"/>
      <c r="DT2" s="4"/>
      <c r="DU2" s="4"/>
      <c r="DV2" s="4"/>
      <c r="DW2" s="4"/>
      <c r="DX2" s="4"/>
      <c r="DY2" s="4"/>
      <c r="DZ2" s="4"/>
      <c r="EA2" s="4"/>
      <c r="EB2" s="4"/>
      <c r="EC2" s="4"/>
      <c r="ED2" s="4"/>
      <c r="EE2" s="4"/>
      <c r="EF2" s="4"/>
    </row>
    <row r="3" spans="1:139" ht="15" customHeight="1">
      <c r="C3" s="51" t="s">
        <v>87</v>
      </c>
      <c r="D3" s="13" t="s">
        <v>101</v>
      </c>
      <c r="E3" s="13"/>
      <c r="F3" s="13"/>
      <c r="G3" s="13"/>
      <c r="H3" s="13"/>
      <c r="I3" s="13"/>
      <c r="J3" s="13"/>
      <c r="K3" s="13"/>
      <c r="L3" s="13"/>
      <c r="M3" s="13"/>
      <c r="N3" s="13"/>
      <c r="O3" s="13"/>
      <c r="P3" s="13"/>
      <c r="Q3" s="13"/>
      <c r="R3" s="13"/>
      <c r="S3" s="13"/>
      <c r="T3" s="52"/>
      <c r="U3" s="52"/>
      <c r="V3" s="52"/>
      <c r="X3" s="9"/>
      <c r="Y3" s="47" t="s">
        <v>99</v>
      </c>
      <c r="Z3" s="593" t="s">
        <v>737</v>
      </c>
      <c r="AA3" s="48" t="s">
        <v>98</v>
      </c>
      <c r="AB3" s="20"/>
      <c r="AC3" s="20"/>
      <c r="AD3" s="20"/>
      <c r="AE3" s="20"/>
      <c r="AF3" s="20"/>
      <c r="AG3" s="20"/>
      <c r="AH3" s="9"/>
      <c r="AI3" s="20"/>
      <c r="AJ3" s="599" t="s">
        <v>738</v>
      </c>
      <c r="AK3" s="9" t="s">
        <v>123</v>
      </c>
      <c r="AL3" s="9"/>
      <c r="AM3" s="20"/>
      <c r="AN3" s="20"/>
      <c r="AO3" s="20"/>
      <c r="AQ3" s="748"/>
      <c r="AR3" s="748"/>
      <c r="AS3" s="748"/>
      <c r="AT3" s="748"/>
      <c r="AU3" s="748"/>
      <c r="AV3" s="748"/>
      <c r="AW3" s="71" t="s">
        <v>127</v>
      </c>
      <c r="AX3" s="76" t="s">
        <v>124</v>
      </c>
      <c r="AY3" s="74"/>
      <c r="AZ3" s="52"/>
      <c r="BA3" s="52"/>
      <c r="BB3" s="4"/>
      <c r="BC3" s="247" t="s">
        <v>97</v>
      </c>
      <c r="BD3" s="76" t="s">
        <v>418</v>
      </c>
      <c r="BE3" s="74"/>
      <c r="BF3" s="52"/>
      <c r="BG3" s="76"/>
      <c r="BH3" s="52"/>
      <c r="BI3" s="52"/>
      <c r="BJ3" s="52"/>
      <c r="BK3" s="24"/>
      <c r="BL3" s="4"/>
      <c r="BM3" s="4"/>
      <c r="BN3" s="4"/>
      <c r="BO3" s="4"/>
      <c r="BP3" s="4"/>
      <c r="BQ3" s="4"/>
      <c r="BR3" s="4"/>
      <c r="BS3" s="4"/>
      <c r="BT3" s="4"/>
      <c r="BU3" s="4"/>
      <c r="BV3" s="4"/>
      <c r="BW3" s="4"/>
      <c r="BX3" s="4"/>
      <c r="BY3" s="17"/>
      <c r="BZ3" s="24"/>
      <c r="CA3" s="4"/>
      <c r="CB3" s="4"/>
      <c r="CC3" s="4"/>
      <c r="CD3" s="4"/>
      <c r="CE3" s="4"/>
      <c r="CF3" s="4"/>
      <c r="CG3" s="4"/>
      <c r="CH3" s="4"/>
      <c r="CI3" s="4"/>
      <c r="CJ3" s="4"/>
      <c r="CK3" s="4"/>
      <c r="CL3" s="4"/>
      <c r="CM3" s="4"/>
      <c r="CN3" s="17"/>
      <c r="CO3" s="24"/>
      <c r="CP3" s="4"/>
      <c r="CQ3" s="4"/>
      <c r="CR3" s="4"/>
      <c r="CS3" s="4"/>
      <c r="CT3" s="4"/>
      <c r="CU3" s="4"/>
      <c r="CV3" s="4"/>
      <c r="CW3" s="4"/>
      <c r="CX3" s="4"/>
      <c r="CY3" s="4"/>
      <c r="CZ3" s="4"/>
      <c r="DA3" s="4"/>
      <c r="DB3" s="4"/>
      <c r="DC3" s="17"/>
      <c r="DD3" s="24"/>
      <c r="DE3" s="4"/>
      <c r="DF3" s="4"/>
      <c r="DG3" s="4"/>
      <c r="DH3" s="4"/>
      <c r="DI3" s="4"/>
      <c r="DJ3" s="4"/>
      <c r="DK3" s="4"/>
      <c r="DL3" s="4"/>
      <c r="DM3" s="4"/>
      <c r="DN3" s="4"/>
      <c r="DO3" s="4"/>
      <c r="DP3" s="4"/>
      <c r="DQ3" s="4"/>
      <c r="DR3" s="17"/>
      <c r="DS3" s="24"/>
      <c r="DT3" s="4"/>
      <c r="DU3" s="4"/>
      <c r="DV3" s="4"/>
      <c r="DW3" s="4"/>
      <c r="DX3" s="4"/>
      <c r="DY3" s="4"/>
      <c r="DZ3" s="4"/>
      <c r="EA3" s="4"/>
      <c r="EB3" s="4"/>
      <c r="EC3" s="4"/>
      <c r="ED3" s="4"/>
      <c r="EE3" s="4"/>
      <c r="EF3" s="4"/>
    </row>
    <row r="4" spans="1:139" ht="14.1" customHeight="1">
      <c r="C4" s="13"/>
      <c r="D4" s="12" t="s">
        <v>102</v>
      </c>
      <c r="E4" s="13"/>
      <c r="F4" s="13"/>
      <c r="G4" s="13"/>
      <c r="H4" s="13"/>
      <c r="I4" s="13"/>
      <c r="J4" s="13"/>
      <c r="K4" s="13"/>
      <c r="L4" s="13"/>
      <c r="M4" s="13"/>
      <c r="N4" s="13"/>
      <c r="O4" s="13"/>
      <c r="P4" s="13"/>
      <c r="Q4" s="13"/>
      <c r="R4" s="13"/>
      <c r="S4" s="13"/>
      <c r="T4" s="52"/>
      <c r="U4" s="59"/>
      <c r="V4" s="52"/>
      <c r="X4" s="10"/>
      <c r="Y4" s="49"/>
      <c r="Z4" s="44" t="s">
        <v>95</v>
      </c>
      <c r="AA4" s="9" t="s">
        <v>91</v>
      </c>
      <c r="AB4" s="9"/>
      <c r="AC4" s="9"/>
      <c r="AD4" s="9"/>
      <c r="AE4" s="9"/>
      <c r="AF4" s="9"/>
      <c r="AG4" s="9"/>
      <c r="AH4" s="9"/>
      <c r="AI4" s="20"/>
      <c r="AJ4" s="55" t="s">
        <v>103</v>
      </c>
      <c r="AK4" s="48" t="s">
        <v>126</v>
      </c>
      <c r="AL4" s="9"/>
      <c r="AM4" s="9"/>
      <c r="AN4" s="9"/>
      <c r="AO4" s="9"/>
      <c r="AQ4" s="748"/>
      <c r="AR4" s="748"/>
      <c r="AS4" s="748"/>
      <c r="AT4" s="748"/>
      <c r="AU4" s="748"/>
      <c r="AV4" s="748"/>
      <c r="AW4" s="72" t="s">
        <v>129</v>
      </c>
      <c r="AX4" s="76" t="s">
        <v>383</v>
      </c>
      <c r="AY4" s="74"/>
      <c r="AZ4" s="75"/>
      <c r="BA4" s="75"/>
      <c r="BC4" s="600" t="s">
        <v>96</v>
      </c>
      <c r="BD4" s="76" t="s">
        <v>739</v>
      </c>
      <c r="BE4" s="74"/>
      <c r="BF4" s="52"/>
      <c r="BG4" s="76"/>
      <c r="BH4" s="52"/>
      <c r="BI4" s="52"/>
      <c r="BJ4" s="52"/>
      <c r="BY4" s="17"/>
      <c r="CJ4" s="37"/>
      <c r="CK4" s="37"/>
      <c r="CL4" s="37"/>
      <c r="CM4" s="37"/>
      <c r="CN4" s="17"/>
      <c r="DC4" s="17"/>
      <c r="DR4" s="17"/>
    </row>
    <row r="5" spans="1:139" ht="15" customHeight="1">
      <c r="C5" s="13"/>
      <c r="D5" s="12"/>
      <c r="E5" s="13"/>
      <c r="F5" s="13"/>
      <c r="G5" s="13"/>
      <c r="H5" s="13"/>
      <c r="I5" s="13"/>
      <c r="J5" s="13"/>
      <c r="K5" s="13"/>
      <c r="L5" s="13"/>
      <c r="M5" s="13"/>
      <c r="N5" s="13"/>
      <c r="O5" s="13"/>
      <c r="P5" s="13"/>
      <c r="Q5" s="13"/>
      <c r="R5" s="13"/>
      <c r="S5" s="13"/>
      <c r="T5" s="52"/>
      <c r="U5" s="59"/>
      <c r="V5" s="52"/>
      <c r="X5" s="10"/>
      <c r="Y5" s="49"/>
      <c r="Z5" s="43" t="s">
        <v>94</v>
      </c>
      <c r="AA5" s="50" t="s">
        <v>125</v>
      </c>
      <c r="AB5" s="9"/>
      <c r="AC5" s="9"/>
      <c r="AD5" s="9"/>
      <c r="AE5" s="9"/>
      <c r="AF5" s="9"/>
      <c r="AG5" s="9"/>
      <c r="AH5" s="9"/>
      <c r="AI5" s="20"/>
      <c r="AJ5" s="698" t="s">
        <v>772</v>
      </c>
      <c r="AK5" s="48" t="s">
        <v>773</v>
      </c>
      <c r="AL5" s="9"/>
      <c r="AM5" s="9"/>
      <c r="AN5" s="9"/>
      <c r="AO5" s="9"/>
      <c r="AQ5" s="748"/>
      <c r="AR5" s="748"/>
      <c r="AS5" s="748"/>
      <c r="AT5" s="748"/>
      <c r="AU5" s="748"/>
      <c r="AV5" s="748"/>
      <c r="AW5" s="77" t="s">
        <v>131</v>
      </c>
      <c r="AX5" s="13" t="s">
        <v>133</v>
      </c>
      <c r="AY5" s="74"/>
      <c r="AZ5" s="75"/>
      <c r="BA5" s="75"/>
      <c r="BY5" s="17"/>
      <c r="CJ5" s="37"/>
      <c r="CK5" s="37"/>
      <c r="CL5" s="37"/>
      <c r="CM5" s="37"/>
      <c r="CN5" s="17"/>
      <c r="DC5" s="17"/>
      <c r="DR5" s="17"/>
    </row>
    <row r="6" spans="1:139" s="31" customFormat="1" ht="15.75" customHeight="1">
      <c r="A6" s="5" t="s">
        <v>74</v>
      </c>
      <c r="B6" s="32"/>
      <c r="C6" s="19" t="s">
        <v>791</v>
      </c>
      <c r="D6" s="19"/>
      <c r="E6" s="19"/>
      <c r="F6" s="19"/>
      <c r="G6" s="19"/>
      <c r="H6" s="19"/>
      <c r="I6" s="19"/>
      <c r="J6" s="19"/>
      <c r="K6" s="19"/>
      <c r="L6" s="19"/>
      <c r="M6" s="19"/>
      <c r="N6" s="19"/>
      <c r="O6" s="19"/>
      <c r="P6" s="19"/>
      <c r="Q6" s="32"/>
      <c r="R6" s="720" t="s">
        <v>72</v>
      </c>
      <c r="S6" s="720"/>
      <c r="T6" s="720"/>
      <c r="U6" s="720"/>
      <c r="V6" s="720"/>
      <c r="W6" s="720"/>
      <c r="X6" s="720"/>
      <c r="Y6" s="720"/>
      <c r="Z6" s="720"/>
      <c r="AA6" s="720"/>
      <c r="AB6" s="720"/>
      <c r="AC6" s="720"/>
      <c r="AD6" s="720"/>
      <c r="AE6" s="720"/>
      <c r="AF6" s="32"/>
      <c r="AG6" s="16" t="s">
        <v>107</v>
      </c>
      <c r="AH6" s="33"/>
      <c r="AI6" s="33"/>
      <c r="AJ6" s="33"/>
      <c r="AK6" s="33"/>
      <c r="AL6" s="33"/>
      <c r="AM6" s="33"/>
      <c r="AN6" s="33"/>
      <c r="AO6" s="33"/>
      <c r="AP6" s="33"/>
      <c r="AQ6" s="33"/>
      <c r="AR6" s="33"/>
      <c r="AS6" s="33"/>
      <c r="AT6" s="33"/>
      <c r="AU6" s="32"/>
      <c r="AV6" s="35" t="s">
        <v>73</v>
      </c>
      <c r="AW6" s="35"/>
      <c r="AX6" s="35"/>
      <c r="AY6" s="35"/>
      <c r="AZ6" s="35"/>
      <c r="BA6" s="35"/>
      <c r="BB6" s="35"/>
      <c r="BC6" s="35"/>
      <c r="BD6" s="35"/>
      <c r="BE6" s="35"/>
      <c r="BF6" s="35"/>
      <c r="BG6" s="35"/>
      <c r="BH6" s="35"/>
      <c r="BI6" s="35"/>
      <c r="BJ6" s="32"/>
      <c r="BK6" s="22" t="s">
        <v>120</v>
      </c>
      <c r="BL6" s="22"/>
      <c r="BM6" s="22"/>
      <c r="BN6" s="22"/>
      <c r="BO6" s="22"/>
      <c r="BP6" s="22"/>
      <c r="BQ6" s="22"/>
      <c r="BR6" s="22"/>
      <c r="BS6" s="22"/>
      <c r="BT6" s="22"/>
      <c r="BU6" s="22"/>
      <c r="BV6" s="22"/>
      <c r="BW6" s="22"/>
      <c r="BX6" s="22"/>
      <c r="BY6" s="32"/>
      <c r="BZ6" s="21" t="s">
        <v>108</v>
      </c>
      <c r="CA6" s="21"/>
      <c r="CB6" s="21"/>
      <c r="CC6" s="21"/>
      <c r="CD6" s="21"/>
      <c r="CE6" s="21"/>
      <c r="CF6" s="21"/>
      <c r="CG6" s="21"/>
      <c r="CH6" s="21"/>
      <c r="CI6" s="21"/>
      <c r="CJ6" s="21"/>
      <c r="CK6" s="21"/>
      <c r="CL6" s="21"/>
      <c r="CM6" s="21"/>
      <c r="CN6" s="32"/>
      <c r="CO6" s="34" t="s">
        <v>122</v>
      </c>
      <c r="CP6" s="34"/>
      <c r="CQ6" s="34"/>
      <c r="CR6" s="34"/>
      <c r="CS6" s="34"/>
      <c r="CT6" s="34"/>
      <c r="CU6" s="34"/>
      <c r="CV6" s="34"/>
      <c r="CW6" s="34"/>
      <c r="CX6" s="34"/>
      <c r="CY6" s="34"/>
      <c r="CZ6" s="34"/>
      <c r="DA6" s="34"/>
      <c r="DB6" s="34"/>
      <c r="DC6" s="32"/>
      <c r="DD6" s="14" t="s">
        <v>109</v>
      </c>
      <c r="DE6" s="14"/>
      <c r="DF6" s="14"/>
      <c r="DG6" s="14"/>
      <c r="DH6" s="14"/>
      <c r="DI6" s="14"/>
      <c r="DJ6" s="14"/>
      <c r="DK6" s="14"/>
      <c r="DL6" s="14"/>
      <c r="DM6" s="14"/>
      <c r="DN6" s="14"/>
      <c r="DO6" s="14"/>
      <c r="DP6" s="14"/>
      <c r="DQ6" s="14"/>
      <c r="DR6" s="32"/>
      <c r="DS6" s="15" t="s">
        <v>110</v>
      </c>
      <c r="DT6" s="15"/>
      <c r="DU6" s="15"/>
      <c r="DV6" s="15"/>
      <c r="DW6" s="15"/>
      <c r="DX6" s="15"/>
      <c r="DY6" s="15"/>
      <c r="DZ6" s="15"/>
      <c r="EA6" s="15"/>
      <c r="EB6" s="15"/>
      <c r="EC6" s="15"/>
      <c r="ED6" s="15"/>
      <c r="EE6" s="15"/>
      <c r="EF6" s="15"/>
    </row>
    <row r="7" spans="1:139" ht="15.75">
      <c r="A7" s="56" t="s">
        <v>104</v>
      </c>
      <c r="B7" s="6"/>
      <c r="C7" s="18" t="s">
        <v>86</v>
      </c>
      <c r="D7" s="18" t="s">
        <v>83</v>
      </c>
      <c r="E7" s="18" t="s">
        <v>82</v>
      </c>
      <c r="F7" s="18" t="s">
        <v>81</v>
      </c>
      <c r="G7" s="18" t="s">
        <v>80</v>
      </c>
      <c r="H7" s="18" t="s">
        <v>79</v>
      </c>
      <c r="I7" s="18" t="s">
        <v>78</v>
      </c>
      <c r="J7" s="18" t="s">
        <v>77</v>
      </c>
      <c r="K7" s="18" t="s">
        <v>76</v>
      </c>
      <c r="L7" s="11" t="s">
        <v>85</v>
      </c>
      <c r="M7" s="11" t="s">
        <v>89</v>
      </c>
      <c r="N7" s="11" t="s">
        <v>408</v>
      </c>
      <c r="O7" s="11" t="s">
        <v>409</v>
      </c>
      <c r="P7" s="11" t="s">
        <v>783</v>
      </c>
      <c r="Q7" s="6"/>
      <c r="R7" s="18" t="s">
        <v>86</v>
      </c>
      <c r="S7" s="18" t="s">
        <v>83</v>
      </c>
      <c r="T7" s="11" t="s">
        <v>82</v>
      </c>
      <c r="U7" s="11" t="s">
        <v>81</v>
      </c>
      <c r="V7" s="18" t="s">
        <v>80</v>
      </c>
      <c r="W7" s="18" t="s">
        <v>79</v>
      </c>
      <c r="X7" s="18" t="s">
        <v>78</v>
      </c>
      <c r="Y7" s="18" t="s">
        <v>77</v>
      </c>
      <c r="Z7" s="18" t="s">
        <v>76</v>
      </c>
      <c r="AA7" s="11" t="s">
        <v>85</v>
      </c>
      <c r="AB7" s="11" t="s">
        <v>89</v>
      </c>
      <c r="AC7" s="11" t="s">
        <v>408</v>
      </c>
      <c r="AD7" s="11" t="s">
        <v>409</v>
      </c>
      <c r="AE7" s="11" t="s">
        <v>783</v>
      </c>
      <c r="AF7" s="6"/>
      <c r="AG7" s="18" t="s">
        <v>86</v>
      </c>
      <c r="AH7" s="18" t="s">
        <v>83</v>
      </c>
      <c r="AI7" s="11" t="s">
        <v>82</v>
      </c>
      <c r="AJ7" s="11" t="s">
        <v>81</v>
      </c>
      <c r="AK7" s="18" t="s">
        <v>80</v>
      </c>
      <c r="AL7" s="18" t="s">
        <v>79</v>
      </c>
      <c r="AM7" s="18" t="s">
        <v>78</v>
      </c>
      <c r="AN7" s="18" t="s">
        <v>77</v>
      </c>
      <c r="AO7" s="18" t="s">
        <v>76</v>
      </c>
      <c r="AP7" s="11" t="s">
        <v>85</v>
      </c>
      <c r="AQ7" s="11" t="s">
        <v>89</v>
      </c>
      <c r="AR7" s="11" t="s">
        <v>408</v>
      </c>
      <c r="AS7" s="11" t="s">
        <v>409</v>
      </c>
      <c r="AT7" s="11" t="s">
        <v>783</v>
      </c>
      <c r="AU7" s="6"/>
      <c r="AV7" s="18" t="s">
        <v>86</v>
      </c>
      <c r="AW7" s="18" t="s">
        <v>83</v>
      </c>
      <c r="AX7" s="11" t="s">
        <v>82</v>
      </c>
      <c r="AY7" s="11" t="s">
        <v>81</v>
      </c>
      <c r="AZ7" s="18" t="s">
        <v>80</v>
      </c>
      <c r="BA7" s="18" t="s">
        <v>79</v>
      </c>
      <c r="BB7" s="18" t="s">
        <v>78</v>
      </c>
      <c r="BC7" s="18" t="s">
        <v>77</v>
      </c>
      <c r="BD7" s="18" t="s">
        <v>76</v>
      </c>
      <c r="BE7" s="11" t="s">
        <v>85</v>
      </c>
      <c r="BF7" s="11" t="s">
        <v>89</v>
      </c>
      <c r="BG7" s="11" t="s">
        <v>408</v>
      </c>
      <c r="BH7" s="11" t="s">
        <v>409</v>
      </c>
      <c r="BI7" s="11" t="s">
        <v>783</v>
      </c>
      <c r="BJ7" s="6"/>
      <c r="BK7" s="18" t="s">
        <v>86</v>
      </c>
      <c r="BL7" s="18" t="s">
        <v>83</v>
      </c>
      <c r="BM7" s="11" t="s">
        <v>82</v>
      </c>
      <c r="BN7" s="11" t="s">
        <v>81</v>
      </c>
      <c r="BO7" s="18" t="s">
        <v>80</v>
      </c>
      <c r="BP7" s="18" t="s">
        <v>79</v>
      </c>
      <c r="BQ7" s="18" t="s">
        <v>78</v>
      </c>
      <c r="BR7" s="18" t="s">
        <v>77</v>
      </c>
      <c r="BS7" s="18" t="s">
        <v>76</v>
      </c>
      <c r="BT7" s="11" t="s">
        <v>85</v>
      </c>
      <c r="BU7" s="11" t="s">
        <v>89</v>
      </c>
      <c r="BV7" s="11" t="s">
        <v>408</v>
      </c>
      <c r="BW7" s="11" t="s">
        <v>409</v>
      </c>
      <c r="BX7" s="11" t="s">
        <v>783</v>
      </c>
      <c r="BY7" s="6"/>
      <c r="BZ7" s="18" t="s">
        <v>86</v>
      </c>
      <c r="CA7" s="18" t="s">
        <v>83</v>
      </c>
      <c r="CB7" s="11" t="s">
        <v>82</v>
      </c>
      <c r="CC7" s="11" t="s">
        <v>81</v>
      </c>
      <c r="CD7" s="18" t="s">
        <v>80</v>
      </c>
      <c r="CE7" s="18" t="s">
        <v>79</v>
      </c>
      <c r="CF7" s="18" t="s">
        <v>78</v>
      </c>
      <c r="CG7" s="18" t="s">
        <v>77</v>
      </c>
      <c r="CH7" s="18" t="s">
        <v>76</v>
      </c>
      <c r="CI7" s="11" t="s">
        <v>85</v>
      </c>
      <c r="CJ7" s="11" t="s">
        <v>89</v>
      </c>
      <c r="CK7" s="11" t="s">
        <v>408</v>
      </c>
      <c r="CL7" s="11" t="s">
        <v>409</v>
      </c>
      <c r="CM7" s="11" t="s">
        <v>783</v>
      </c>
      <c r="CN7" s="6"/>
      <c r="CO7" s="18" t="s">
        <v>86</v>
      </c>
      <c r="CP7" s="18" t="s">
        <v>83</v>
      </c>
      <c r="CQ7" s="11" t="s">
        <v>82</v>
      </c>
      <c r="CR7" s="11" t="s">
        <v>81</v>
      </c>
      <c r="CS7" s="18" t="s">
        <v>80</v>
      </c>
      <c r="CT7" s="18" t="s">
        <v>79</v>
      </c>
      <c r="CU7" s="18" t="s">
        <v>78</v>
      </c>
      <c r="CV7" s="18" t="s">
        <v>77</v>
      </c>
      <c r="CW7" s="18" t="s">
        <v>76</v>
      </c>
      <c r="CX7" s="11" t="s">
        <v>85</v>
      </c>
      <c r="CY7" s="11" t="s">
        <v>89</v>
      </c>
      <c r="CZ7" s="11" t="s">
        <v>408</v>
      </c>
      <c r="DA7" s="11" t="s">
        <v>409</v>
      </c>
      <c r="DB7" s="11" t="s">
        <v>783</v>
      </c>
      <c r="DC7" s="6"/>
      <c r="DD7" s="18" t="s">
        <v>86</v>
      </c>
      <c r="DE7" s="18" t="s">
        <v>83</v>
      </c>
      <c r="DF7" s="11" t="s">
        <v>82</v>
      </c>
      <c r="DG7" s="11" t="s">
        <v>81</v>
      </c>
      <c r="DH7" s="18" t="s">
        <v>80</v>
      </c>
      <c r="DI7" s="18" t="s">
        <v>79</v>
      </c>
      <c r="DJ7" s="18" t="s">
        <v>78</v>
      </c>
      <c r="DK7" s="18" t="s">
        <v>77</v>
      </c>
      <c r="DL7" s="18" t="s">
        <v>76</v>
      </c>
      <c r="DM7" s="11" t="s">
        <v>85</v>
      </c>
      <c r="DN7" s="11" t="s">
        <v>89</v>
      </c>
      <c r="DO7" s="11" t="s">
        <v>408</v>
      </c>
      <c r="DP7" s="11" t="s">
        <v>409</v>
      </c>
      <c r="DQ7" s="11" t="s">
        <v>783</v>
      </c>
      <c r="DR7" s="6"/>
      <c r="DS7" s="18" t="s">
        <v>86</v>
      </c>
      <c r="DT7" s="18" t="s">
        <v>83</v>
      </c>
      <c r="DU7" s="11" t="s">
        <v>82</v>
      </c>
      <c r="DV7" s="11" t="s">
        <v>81</v>
      </c>
      <c r="DW7" s="18" t="s">
        <v>80</v>
      </c>
      <c r="DX7" s="18" t="s">
        <v>79</v>
      </c>
      <c r="DY7" s="18" t="s">
        <v>78</v>
      </c>
      <c r="DZ7" s="18" t="s">
        <v>77</v>
      </c>
      <c r="EA7" s="18" t="s">
        <v>76</v>
      </c>
      <c r="EB7" s="11" t="s">
        <v>85</v>
      </c>
      <c r="EC7" s="11" t="s">
        <v>89</v>
      </c>
      <c r="ED7" s="11" t="s">
        <v>408</v>
      </c>
      <c r="EE7" s="11" t="s">
        <v>409</v>
      </c>
      <c r="EF7" s="11" t="s">
        <v>783</v>
      </c>
    </row>
    <row r="8" spans="1:139">
      <c r="A8" s="56" t="s">
        <v>105</v>
      </c>
      <c r="N8" s="58"/>
      <c r="O8" s="58"/>
      <c r="P8" s="58"/>
      <c r="R8" s="58">
        <v>0.33838099999999999</v>
      </c>
      <c r="S8" s="58">
        <v>0.34417599999999998</v>
      </c>
      <c r="T8" s="58">
        <v>0.351101</v>
      </c>
      <c r="U8" s="58">
        <v>0.35785899999999998</v>
      </c>
      <c r="V8" s="58">
        <v>0.36483300000000002</v>
      </c>
      <c r="W8" s="58">
        <v>0.37179899999999999</v>
      </c>
      <c r="X8" s="58">
        <v>0.37998799999999999</v>
      </c>
      <c r="Y8" s="58">
        <v>0.386714</v>
      </c>
      <c r="Z8" s="58">
        <v>0.39260500000000004</v>
      </c>
      <c r="AA8" s="58">
        <v>0.39957799999999999</v>
      </c>
      <c r="AB8" s="58">
        <v>0.40640300000000001</v>
      </c>
      <c r="AC8" s="58">
        <f>415874/1000000</f>
        <v>0.41587400000000002</v>
      </c>
      <c r="AD8" s="58">
        <f>423309/1000000</f>
        <v>0.42330899999999999</v>
      </c>
      <c r="AE8" s="58"/>
      <c r="AF8" s="58"/>
      <c r="AG8" s="58">
        <v>6.7861599999999997</v>
      </c>
      <c r="AH8" s="58">
        <v>6.8838520000000001</v>
      </c>
      <c r="AI8" s="58">
        <v>7.0017820000000004</v>
      </c>
      <c r="AJ8" s="58">
        <v>7.1015040000000003</v>
      </c>
      <c r="AK8" s="58">
        <v>7.1798909999999996</v>
      </c>
      <c r="AL8" s="58">
        <v>7.2620749999999994</v>
      </c>
      <c r="AM8" s="58">
        <v>7.3583419999999995</v>
      </c>
      <c r="AN8" s="58">
        <v>7.4624290000000002</v>
      </c>
      <c r="AO8" s="58">
        <v>7.5730889999999995</v>
      </c>
      <c r="AP8" s="58">
        <v>7.6814089999999995</v>
      </c>
      <c r="AQ8" s="58">
        <v>7.7977910000000001</v>
      </c>
      <c r="AR8" s="58">
        <f>7919815/1000000</f>
        <v>7.9198149999999998</v>
      </c>
      <c r="AS8" s="58">
        <f>8037509/1000000</f>
        <v>8.037509</v>
      </c>
      <c r="AT8" s="58"/>
      <c r="AU8" s="58"/>
      <c r="AV8" s="58">
        <v>0.21102899999999999</v>
      </c>
      <c r="AW8" s="58">
        <v>0.216618</v>
      </c>
      <c r="AX8" s="58">
        <v>0.222526</v>
      </c>
      <c r="AY8" s="58">
        <v>0.22778299999999999</v>
      </c>
      <c r="AZ8" s="58">
        <v>0.230299</v>
      </c>
      <c r="BA8" s="58">
        <v>0.23275699999999999</v>
      </c>
      <c r="BB8" s="58">
        <v>0.23943500000000001</v>
      </c>
      <c r="BC8" s="58">
        <v>0.24306800000000001</v>
      </c>
      <c r="BD8" s="58">
        <v>0.243232</v>
      </c>
      <c r="BE8" s="58">
        <v>0.24440299999999998</v>
      </c>
      <c r="BF8" s="58">
        <v>0.24504799999999999</v>
      </c>
      <c r="BG8" s="58">
        <f>246858/1000000</f>
        <v>0.24685799999999999</v>
      </c>
      <c r="BH8" s="58">
        <f>245650/1000000</f>
        <v>0.24565000000000001</v>
      </c>
      <c r="BI8" s="58"/>
      <c r="BJ8" s="58"/>
      <c r="BK8" s="58">
        <v>4.0558449999999997</v>
      </c>
      <c r="BL8" s="58">
        <v>4.1599899999999996</v>
      </c>
      <c r="BM8" s="58">
        <v>4.2755510000000001</v>
      </c>
      <c r="BN8" s="58">
        <v>4.3674539999999995</v>
      </c>
      <c r="BO8" s="58">
        <v>4.4368819999999998</v>
      </c>
      <c r="BP8" s="58">
        <v>4.5194300000000007</v>
      </c>
      <c r="BQ8" s="58">
        <v>4.6112960000000003</v>
      </c>
      <c r="BR8" s="58">
        <v>4.6889050000000001</v>
      </c>
      <c r="BS8" s="58">
        <v>4.7531610000000004</v>
      </c>
      <c r="BT8" s="58">
        <v>4.8132969999999995</v>
      </c>
      <c r="BU8" s="58">
        <v>4.8837389999999994</v>
      </c>
      <c r="BV8" s="58">
        <f>4963072/1000000</f>
        <v>4.9630720000000004</v>
      </c>
      <c r="BW8" s="58">
        <f>5051657/1000000</f>
        <v>5.0516569999999996</v>
      </c>
      <c r="BX8" s="58"/>
      <c r="BY8" s="58"/>
      <c r="BZ8" s="58">
        <v>1.5612999999999999</v>
      </c>
      <c r="CA8" s="58">
        <v>1.578489</v>
      </c>
      <c r="CB8" s="58">
        <v>1.5978800000000002</v>
      </c>
      <c r="CC8" s="58">
        <v>1.6185780000000001</v>
      </c>
      <c r="CD8" s="58">
        <v>1.632482</v>
      </c>
      <c r="CE8" s="58">
        <v>1.647289</v>
      </c>
      <c r="CF8" s="58">
        <v>1.66323</v>
      </c>
      <c r="CG8" s="58">
        <v>1.6784290000000002</v>
      </c>
      <c r="CH8" s="58">
        <v>1.6940390000000001</v>
      </c>
      <c r="CI8" s="58">
        <v>1.706644</v>
      </c>
      <c r="CJ8" s="58">
        <v>1.716966</v>
      </c>
      <c r="CK8" s="58">
        <f>1728077/1000000</f>
        <v>1.7280770000000001</v>
      </c>
      <c r="CL8" s="58">
        <f>1742914/1000000</f>
        <v>1.7429140000000001</v>
      </c>
      <c r="CM8" s="58"/>
      <c r="CN8" s="58"/>
      <c r="CO8" s="58">
        <v>0.49151499999999998</v>
      </c>
      <c r="CP8" s="58">
        <v>0.49585800000000002</v>
      </c>
      <c r="CQ8" s="58">
        <v>0.50177400000000005</v>
      </c>
      <c r="CR8" s="58">
        <v>0.50646100000000005</v>
      </c>
      <c r="CS8" s="58">
        <v>0.51021899999999998</v>
      </c>
      <c r="CT8" s="58">
        <v>0.51183999999999996</v>
      </c>
      <c r="CU8" s="58">
        <v>0.51209500000000008</v>
      </c>
      <c r="CV8" s="58">
        <v>0.513243</v>
      </c>
      <c r="CW8" s="58">
        <v>0.51431399999999994</v>
      </c>
      <c r="CX8" s="58">
        <v>0.51607799999999993</v>
      </c>
      <c r="CY8" s="58">
        <v>0.5190499999999999</v>
      </c>
      <c r="CZ8" s="58"/>
      <c r="DA8" s="58"/>
      <c r="DB8" s="58"/>
      <c r="DC8" s="58"/>
      <c r="DD8" s="58">
        <v>5.1039650000000005</v>
      </c>
      <c r="DE8" s="58">
        <v>5.199503</v>
      </c>
      <c r="DF8" s="58">
        <v>5.3132849999999996</v>
      </c>
      <c r="DG8" s="58">
        <v>5.4192489999999998</v>
      </c>
      <c r="DH8" s="58">
        <v>5.495711</v>
      </c>
      <c r="DI8" s="58">
        <v>5.5930870000000006</v>
      </c>
      <c r="DJ8" s="58">
        <v>5.7120559999999996</v>
      </c>
      <c r="DK8" s="58">
        <v>5.8378109999999994</v>
      </c>
      <c r="DL8" s="58">
        <v>5.9662389999999998</v>
      </c>
      <c r="DM8" s="58">
        <v>6.0975989999999998</v>
      </c>
      <c r="DN8" s="58">
        <v>6.2442269999999995</v>
      </c>
      <c r="DO8" s="58">
        <v>6.3843810000000003</v>
      </c>
      <c r="DP8" s="58"/>
      <c r="DQ8" s="58"/>
      <c r="DR8" s="58"/>
      <c r="DS8" s="58">
        <v>2.076867</v>
      </c>
      <c r="DT8" s="58">
        <v>2.1350059999999997</v>
      </c>
      <c r="DU8" s="58">
        <v>2.2089279999999998</v>
      </c>
      <c r="DV8" s="58">
        <v>2.263747</v>
      </c>
      <c r="DW8" s="58">
        <v>2.3190630000000003</v>
      </c>
      <c r="DX8" s="58">
        <v>2.3860160000000001</v>
      </c>
      <c r="DY8" s="58">
        <v>2.462704</v>
      </c>
      <c r="DZ8" s="58">
        <v>2.5081729999999998</v>
      </c>
      <c r="EA8" s="58">
        <v>2.5330410000000003</v>
      </c>
      <c r="EB8" s="58">
        <v>2.5509529999999998</v>
      </c>
      <c r="EC8" s="58">
        <v>2.5677880000000002</v>
      </c>
      <c r="ED8" s="58">
        <f>2584111/1000000</f>
        <v>2.584111</v>
      </c>
      <c r="EE8" s="58"/>
      <c r="EF8" s="58"/>
    </row>
    <row r="9" spans="1:139" s="26" customFormat="1" ht="15.75">
      <c r="A9" s="586" t="s">
        <v>351</v>
      </c>
      <c r="B9" s="259" t="str">
        <f>A9</f>
        <v>TOTAL</v>
      </c>
      <c r="C9" s="30">
        <f t="shared" ref="C9:N9" ca="1" si="0">SUM(C10:C83)</f>
        <v>4803508.52162233</v>
      </c>
      <c r="D9" s="30">
        <f t="shared" ca="1" si="0"/>
        <v>5704819.9175767368</v>
      </c>
      <c r="E9" s="30">
        <f t="shared" ca="1" si="0"/>
        <v>4501515.176283027</v>
      </c>
      <c r="F9" s="30">
        <f t="shared" ca="1" si="0"/>
        <v>4599301.1930380743</v>
      </c>
      <c r="G9" s="30">
        <f t="shared" ca="1" si="0"/>
        <v>4972617.485334089</v>
      </c>
      <c r="H9" s="30">
        <f t="shared" ca="1" si="0"/>
        <v>5271997.8662594343</v>
      </c>
      <c r="I9" s="30">
        <f t="shared" ca="1" si="0"/>
        <v>5917158.186844823</v>
      </c>
      <c r="J9" s="30">
        <f t="shared" si="0"/>
        <v>5984559.4814477656</v>
      </c>
      <c r="K9" s="30">
        <f t="shared" si="0"/>
        <v>5431519.7996024117</v>
      </c>
      <c r="L9" s="30">
        <f>SUM(L10:L83)</f>
        <v>5801334.4659092613</v>
      </c>
      <c r="M9" s="30">
        <f t="shared" si="0"/>
        <v>6489668.7960791504</v>
      </c>
      <c r="N9" s="30">
        <f t="shared" si="0"/>
        <v>7917000.6622959133</v>
      </c>
      <c r="O9" s="30">
        <f>SUM(O10:O83)</f>
        <v>8005186.6657536402</v>
      </c>
      <c r="P9" s="30">
        <f>SUM(P10:P83)</f>
        <v>7376177.3672139822</v>
      </c>
      <c r="Q9" s="25"/>
      <c r="R9" s="30">
        <f t="shared" ref="R9:AE9" si="1">SUM(R10:R83)</f>
        <v>10430.433449672488</v>
      </c>
      <c r="S9" s="30">
        <f t="shared" si="1"/>
        <v>10254.250821808784</v>
      </c>
      <c r="T9" s="30">
        <f t="shared" si="1"/>
        <v>29097.567638382356</v>
      </c>
      <c r="U9" s="30">
        <f t="shared" si="1"/>
        <v>10807.420351220509</v>
      </c>
      <c r="V9" s="30">
        <f t="shared" si="1"/>
        <v>11970.263701225431</v>
      </c>
      <c r="W9" s="30">
        <f t="shared" si="1"/>
        <v>15808.469249853812</v>
      </c>
      <c r="X9" s="30">
        <f t="shared" si="1"/>
        <v>17249.288683921819</v>
      </c>
      <c r="Y9" s="30">
        <f t="shared" si="1"/>
        <v>18174.650191253782</v>
      </c>
      <c r="Z9" s="30">
        <f t="shared" si="1"/>
        <v>19416.205351908644</v>
      </c>
      <c r="AA9" s="30">
        <f t="shared" si="1"/>
        <v>79745.408694506332</v>
      </c>
      <c r="AB9" s="30">
        <f t="shared" si="1"/>
        <v>220661.04389542923</v>
      </c>
      <c r="AC9" s="30">
        <f t="shared" si="1"/>
        <v>109005.06121195457</v>
      </c>
      <c r="AD9" s="30">
        <f t="shared" si="1"/>
        <v>60437.808000000005</v>
      </c>
      <c r="AE9" s="30">
        <f t="shared" si="1"/>
        <v>48013.437299999998</v>
      </c>
      <c r="AF9" s="25"/>
      <c r="AG9" s="30">
        <f ca="1">SUM(AG10:AG83)</f>
        <v>1122246.4741144949</v>
      </c>
      <c r="AH9" s="30">
        <f t="shared" ref="AH9:AR9" ca="1" si="2">SUM(AH10:AH83)</f>
        <v>1117130.5987027949</v>
      </c>
      <c r="AI9" s="30">
        <f t="shared" ca="1" si="2"/>
        <v>1181880.1693614197</v>
      </c>
      <c r="AJ9" s="30">
        <f t="shared" ca="1" si="2"/>
        <v>1285534.0028234494</v>
      </c>
      <c r="AK9" s="30">
        <f t="shared" ca="1" si="2"/>
        <v>1126377.5240072478</v>
      </c>
      <c r="AL9" s="30">
        <f t="shared" ca="1" si="2"/>
        <v>1279097.2985250519</v>
      </c>
      <c r="AM9" s="30">
        <f t="shared" ca="1" si="2"/>
        <v>1695348.2825311292</v>
      </c>
      <c r="AN9" s="30">
        <f t="shared" si="2"/>
        <v>1686808.0597803395</v>
      </c>
      <c r="AO9" s="30">
        <f t="shared" si="2"/>
        <v>1330016.5044165843</v>
      </c>
      <c r="AP9" s="30">
        <f t="shared" si="2"/>
        <v>1789623.0210889908</v>
      </c>
      <c r="AQ9" s="30">
        <f t="shared" si="2"/>
        <v>1712896.4888256865</v>
      </c>
      <c r="AR9" s="30">
        <f t="shared" si="2"/>
        <v>2596781.3950194679</v>
      </c>
      <c r="AS9" s="30">
        <f>SUM(AS10:AS83)</f>
        <v>2847804.3540747575</v>
      </c>
      <c r="AT9" s="30">
        <f>SUM(AT10:AT83)</f>
        <v>2349288.7721282328</v>
      </c>
      <c r="AU9" s="25"/>
      <c r="AV9" s="30">
        <f t="shared" ref="AV9:BI9" si="3">SUM(AV10:AV83)</f>
        <v>30563.003293033427</v>
      </c>
      <c r="AW9" s="30">
        <f t="shared" si="3"/>
        <v>31372.449508505055</v>
      </c>
      <c r="AX9" s="30">
        <f t="shared" si="3"/>
        <v>32228.096000007383</v>
      </c>
      <c r="AY9" s="30">
        <f t="shared" si="3"/>
        <v>32989.459169578753</v>
      </c>
      <c r="AZ9" s="30">
        <f t="shared" si="3"/>
        <v>33353.847553569911</v>
      </c>
      <c r="BA9" s="30">
        <f t="shared" si="3"/>
        <v>33725.891055202359</v>
      </c>
      <c r="BB9" s="30">
        <f t="shared" si="3"/>
        <v>34686.349951920885</v>
      </c>
      <c r="BC9" s="30">
        <f t="shared" si="3"/>
        <v>35194.054959085421</v>
      </c>
      <c r="BD9" s="30">
        <f t="shared" si="3"/>
        <v>32621.8182222092</v>
      </c>
      <c r="BE9" s="30">
        <f t="shared" si="3"/>
        <v>24004.615151421982</v>
      </c>
      <c r="BF9" s="30">
        <f t="shared" si="3"/>
        <v>30131.101500845951</v>
      </c>
      <c r="BG9" s="30">
        <f t="shared" si="3"/>
        <v>28235.377716719133</v>
      </c>
      <c r="BH9" s="30">
        <f t="shared" si="3"/>
        <v>78277.144330000025</v>
      </c>
      <c r="BI9" s="30">
        <f t="shared" si="3"/>
        <v>54660.278717512396</v>
      </c>
      <c r="BJ9" s="25"/>
      <c r="BK9" s="30">
        <f t="shared" ref="BK9:BX9" si="4">SUM(BK10:BK83)</f>
        <v>1480955.5547729353</v>
      </c>
      <c r="BL9" s="30">
        <f t="shared" si="4"/>
        <v>2319275.9109006538</v>
      </c>
      <c r="BM9" s="30">
        <f t="shared" si="4"/>
        <v>1386208.7522120397</v>
      </c>
      <c r="BN9" s="30">
        <f t="shared" si="4"/>
        <v>1340053.261536733</v>
      </c>
      <c r="BO9" s="30">
        <f t="shared" si="4"/>
        <v>1390525.8111028052</v>
      </c>
      <c r="BP9" s="30">
        <f t="shared" si="4"/>
        <v>1182725.7600447494</v>
      </c>
      <c r="BQ9" s="30">
        <f t="shared" si="4"/>
        <v>1592959.7383428738</v>
      </c>
      <c r="BR9" s="30">
        <f t="shared" si="4"/>
        <v>2051769.2201394304</v>
      </c>
      <c r="BS9" s="30">
        <f t="shared" si="4"/>
        <v>1727225.2252268726</v>
      </c>
      <c r="BT9" s="30">
        <f t="shared" si="4"/>
        <v>1486922.5973219534</v>
      </c>
      <c r="BU9" s="30">
        <f t="shared" si="4"/>
        <v>2040034.2868940854</v>
      </c>
      <c r="BV9" s="30">
        <f t="shared" si="4"/>
        <v>2058448.4176603535</v>
      </c>
      <c r="BW9" s="30">
        <f t="shared" si="4"/>
        <v>1936207.2770448762</v>
      </c>
      <c r="BX9" s="30">
        <f t="shared" si="4"/>
        <v>1461416.1585319443</v>
      </c>
      <c r="BY9" s="25"/>
      <c r="BZ9" s="30">
        <f t="shared" ref="BZ9:CM9" si="5">SUM(BZ10:BZ83)</f>
        <v>185726.84325831564</v>
      </c>
      <c r="CA9" s="30">
        <f t="shared" si="5"/>
        <v>350233.78295965912</v>
      </c>
      <c r="CB9" s="30">
        <f t="shared" si="5"/>
        <v>190483.76450899092</v>
      </c>
      <c r="CC9" s="30">
        <f t="shared" si="5"/>
        <v>232375.94649283995</v>
      </c>
      <c r="CD9" s="30">
        <f t="shared" si="5"/>
        <v>471719.66263389686</v>
      </c>
      <c r="CE9" s="30">
        <f t="shared" si="5"/>
        <v>866612.206531459</v>
      </c>
      <c r="CF9" s="30">
        <f t="shared" si="5"/>
        <v>546370.89328476659</v>
      </c>
      <c r="CG9" s="30">
        <f t="shared" si="5"/>
        <v>314051.83999902988</v>
      </c>
      <c r="CH9" s="30">
        <f t="shared" si="5"/>
        <v>474995.5626063323</v>
      </c>
      <c r="CI9" s="30">
        <f t="shared" si="5"/>
        <v>358274.77203694347</v>
      </c>
      <c r="CJ9" s="30">
        <f t="shared" si="5"/>
        <v>460603.10370726732</v>
      </c>
      <c r="CK9" s="30">
        <f t="shared" si="5"/>
        <v>582532.12593304436</v>
      </c>
      <c r="CL9" s="30">
        <f t="shared" si="5"/>
        <v>449400.56644431321</v>
      </c>
      <c r="CM9" s="30">
        <f t="shared" si="5"/>
        <v>410115.99423888052</v>
      </c>
      <c r="CN9" s="25"/>
      <c r="CO9" s="30">
        <f t="shared" ref="CO9:DB9" si="6">SUM(CO10:CO83)</f>
        <v>268330.99646453117</v>
      </c>
      <c r="CP9" s="30">
        <f t="shared" si="6"/>
        <v>270085.87583150237</v>
      </c>
      <c r="CQ9" s="30">
        <f t="shared" si="6"/>
        <v>274275.84348407987</v>
      </c>
      <c r="CR9" s="30">
        <f t="shared" si="6"/>
        <v>274950.24390028778</v>
      </c>
      <c r="CS9" s="30">
        <f t="shared" si="6"/>
        <v>276839.57332211721</v>
      </c>
      <c r="CT9" s="30">
        <f t="shared" si="6"/>
        <v>292449.37877275574</v>
      </c>
      <c r="CU9" s="30">
        <f t="shared" si="6"/>
        <v>292240.83673359209</v>
      </c>
      <c r="CV9" s="30">
        <f t="shared" si="6"/>
        <v>292857.05801335268</v>
      </c>
      <c r="CW9" s="30">
        <f t="shared" si="6"/>
        <v>315411.82251054142</v>
      </c>
      <c r="CX9" s="30">
        <f t="shared" si="6"/>
        <v>396736.32599830424</v>
      </c>
      <c r="CY9" s="30">
        <f t="shared" si="6"/>
        <v>175479.29613041884</v>
      </c>
      <c r="CZ9" s="30">
        <f t="shared" si="6"/>
        <v>254738.98096420712</v>
      </c>
      <c r="DA9" s="30">
        <f t="shared" si="6"/>
        <v>443074.89725771965</v>
      </c>
      <c r="DB9" s="30">
        <f t="shared" si="6"/>
        <v>403063.62802487565</v>
      </c>
      <c r="DC9" s="25"/>
      <c r="DD9" s="30">
        <f t="shared" ref="DD9:DQ9" si="7">SUM(DD10:DD83)</f>
        <v>1266900.2968195055</v>
      </c>
      <c r="DE9" s="30">
        <f t="shared" si="7"/>
        <v>1171087.7383754798</v>
      </c>
      <c r="DF9" s="30">
        <f t="shared" si="7"/>
        <v>965430.23913437547</v>
      </c>
      <c r="DG9" s="30">
        <f t="shared" si="7"/>
        <v>959852.36641431251</v>
      </c>
      <c r="DH9" s="30">
        <f t="shared" si="7"/>
        <v>1062951.1334325781</v>
      </c>
      <c r="DI9" s="30">
        <f t="shared" si="7"/>
        <v>1035186.4175940227</v>
      </c>
      <c r="DJ9" s="30">
        <f t="shared" si="7"/>
        <v>1118305.93344731</v>
      </c>
      <c r="DK9" s="30">
        <f t="shared" si="7"/>
        <v>939918.012994922</v>
      </c>
      <c r="DL9" s="30">
        <f t="shared" si="7"/>
        <v>951558.75132078747</v>
      </c>
      <c r="DM9" s="30">
        <f>SUM(DM10:DM82)</f>
        <v>1010779.0851518229</v>
      </c>
      <c r="DN9" s="30">
        <f t="shared" si="7"/>
        <v>1233941.1152137006</v>
      </c>
      <c r="DO9" s="30">
        <f t="shared" si="7"/>
        <v>1500326.3458231951</v>
      </c>
      <c r="DP9" s="30">
        <f t="shared" si="7"/>
        <v>1429659.5633519283</v>
      </c>
      <c r="DQ9" s="30">
        <f t="shared" si="7"/>
        <v>1908885.4776180533</v>
      </c>
      <c r="DR9" s="25"/>
      <c r="DS9" s="30">
        <f t="shared" ref="DS9:ED9" si="8">SUM(DS10:DS83)</f>
        <v>438354.91944984271</v>
      </c>
      <c r="DT9" s="30">
        <f t="shared" si="8"/>
        <v>435379.31047633063</v>
      </c>
      <c r="DU9" s="30">
        <f t="shared" si="8"/>
        <v>441910.74394373142</v>
      </c>
      <c r="DV9" s="30">
        <f t="shared" si="8"/>
        <v>462738.49234965415</v>
      </c>
      <c r="DW9" s="30">
        <f t="shared" si="8"/>
        <v>598879.66958064982</v>
      </c>
      <c r="DX9" s="30">
        <f t="shared" si="8"/>
        <v>566392.44448633876</v>
      </c>
      <c r="DY9" s="30">
        <f t="shared" si="8"/>
        <v>619996.86386930849</v>
      </c>
      <c r="DZ9" s="30">
        <f t="shared" si="8"/>
        <v>645786.58537035296</v>
      </c>
      <c r="EA9" s="30">
        <f t="shared" si="8"/>
        <v>580273.90994717693</v>
      </c>
      <c r="EB9" s="30">
        <f t="shared" si="8"/>
        <v>655248.64046531671</v>
      </c>
      <c r="EC9" s="30">
        <f t="shared" si="8"/>
        <v>615922.35991171538</v>
      </c>
      <c r="ED9" s="30">
        <f t="shared" si="8"/>
        <v>786932.95796697005</v>
      </c>
      <c r="EE9" s="30">
        <f>SUM(EE10:EE83)</f>
        <v>760325.05525004445</v>
      </c>
      <c r="EF9" s="30">
        <f>SUM(EF10:EF83)</f>
        <v>740733.62065448344</v>
      </c>
    </row>
    <row r="10" spans="1:139" s="26" customFormat="1">
      <c r="A10" s="27" t="s">
        <v>0</v>
      </c>
      <c r="B10" s="28"/>
      <c r="C10" s="8">
        <f t="shared" ref="C10:C41" si="9">SUM(R10,AG10,AV10,BK10,BZ10,CO10,DD10,DS10)</f>
        <v>4302.39397619583</v>
      </c>
      <c r="D10" s="8">
        <f t="shared" ref="D10:D41" si="10">SUM(S10,AH10,AW10,BL10,CA10,CP10,DE10,DT10)</f>
        <v>3180.939161530699</v>
      </c>
      <c r="E10" s="8">
        <f t="shared" ref="E10:E41" si="11">SUM(T10,AI10,AX10,BM10,CB10,CQ10,DF10,DU10)</f>
        <v>4009.1803118007674</v>
      </c>
      <c r="F10" s="8">
        <f t="shared" ref="F10:F41" si="12">SUM(U10,AJ10,AY10,BN10,CC10,CR10,DG10,DV10)</f>
        <v>6288.8190731117566</v>
      </c>
      <c r="G10" s="8">
        <f t="shared" ref="G10:G41" ca="1" si="13">SUM(V10,AK10,AZ10,BO10,CD10,CS10,DH10,DW10)</f>
        <v>12172.101988793791</v>
      </c>
      <c r="H10" s="8">
        <f t="shared" ref="H10:H41" ca="1" si="14">SUM(W10,AL10,BA10,BP10,CE10,CT10,DI10,DX10)</f>
        <v>8698.728728970902</v>
      </c>
      <c r="I10" s="8">
        <f t="shared" ref="I10:I41" ca="1" si="15">SUM(X10,AM10,BB10,BQ10,CF10,CU10,DJ10,DY10)</f>
        <v>5896.5130685515069</v>
      </c>
      <c r="J10" s="8">
        <f t="shared" ref="J10:J41" si="16">SUM(Y10,AN10,BC10,BR10,CG10,CV10,DK10,DZ10)</f>
        <v>6659.7805917614523</v>
      </c>
      <c r="K10" s="8">
        <f t="shared" ref="K10:K41" si="17">SUM(Z10,AO10,BD10,BS10,CH10,CW10,DL10,EA10)</f>
        <v>10932.864100000001</v>
      </c>
      <c r="L10" s="8">
        <f>SUM(AA10,AP10,BE10,BT10,CI10,CX10,DM10,EB10)</f>
        <v>8124.6319999999996</v>
      </c>
      <c r="M10" s="8">
        <f t="shared" ref="M10:M41" si="18">SUM(AB10,AQ10,BF10,BU10,CJ10,CY10,DN10,EC10)</f>
        <v>7152.7251453581721</v>
      </c>
      <c r="N10" s="8">
        <f t="shared" ref="N10" si="19">SUM(AC10,AR10,BG10,BV10,CK10,CZ10,DO10,ED10)</f>
        <v>6149.804677474307</v>
      </c>
      <c r="O10" s="8">
        <f>SUM(AD10,AS10,BH10,BW10,CL10,DA10,DP10,EE10)</f>
        <v>7705.7496752430225</v>
      </c>
      <c r="P10" s="8">
        <f>SUM(AE10,AT10,BI10,BX10,CM10,DB10,DQ10,EF10)</f>
        <v>6881.1708736402743</v>
      </c>
      <c r="Q10" s="28"/>
      <c r="R10" s="78">
        <f t="shared" ref="R10:X19" si="20">S10*R$8/S$8</f>
        <v>0</v>
      </c>
      <c r="S10" s="78">
        <f t="shared" si="20"/>
        <v>0</v>
      </c>
      <c r="T10" s="78">
        <f t="shared" si="20"/>
        <v>0</v>
      </c>
      <c r="U10" s="78">
        <f t="shared" si="20"/>
        <v>0</v>
      </c>
      <c r="V10" s="78">
        <f t="shared" si="20"/>
        <v>0</v>
      </c>
      <c r="W10" s="78">
        <f t="shared" si="20"/>
        <v>0</v>
      </c>
      <c r="X10" s="78">
        <f t="shared" si="20"/>
        <v>0</v>
      </c>
      <c r="Y10" s="78">
        <f t="shared" ref="Y10:Y13" si="21">AVERAGE(Z10:AD10)*Y$8/Z$8</f>
        <v>0</v>
      </c>
      <c r="Z10" s="592">
        <v>0</v>
      </c>
      <c r="AA10" s="592">
        <v>0</v>
      </c>
      <c r="AB10" s="592">
        <v>0</v>
      </c>
      <c r="AC10" s="592">
        <v>0</v>
      </c>
      <c r="AD10" s="592">
        <v>0</v>
      </c>
      <c r="AE10" s="592">
        <v>0</v>
      </c>
      <c r="AF10" s="28"/>
      <c r="AG10" s="73">
        <f>('Basel data'!F286+'Basel data'!F240)/2</f>
        <v>201.20090909090908</v>
      </c>
      <c r="AH10" s="73">
        <f>('Basel data'!F240+'Basel data'!F194)/2</f>
        <v>128.27349999999998</v>
      </c>
      <c r="AI10" s="73">
        <f>('Basel data'!F194+'Basel data'!F148)/2</f>
        <v>167.37524999999999</v>
      </c>
      <c r="AJ10" s="73">
        <f>('Basel data'!F148+'Basel data'!F102)/2</f>
        <v>136.95175</v>
      </c>
      <c r="AK10" s="313">
        <f ca="1">0+'NEPM data'!K8</f>
        <v>45.56</v>
      </c>
      <c r="AL10" s="313">
        <f ca="1">0+'NEPM data'!L8</f>
        <v>0</v>
      </c>
      <c r="AM10" s="313">
        <f ca="1">0+'NEPM data'!M8</f>
        <v>22</v>
      </c>
      <c r="AN10" s="316">
        <f>0+38</f>
        <v>38</v>
      </c>
      <c r="AO10" s="316">
        <v>0</v>
      </c>
      <c r="AP10" s="313">
        <f>0+110</f>
        <v>110</v>
      </c>
      <c r="AQ10" s="1">
        <v>129.13</v>
      </c>
      <c r="AR10" s="282">
        <v>132.0463867579619</v>
      </c>
      <c r="AS10" s="282">
        <v>310.53499999999997</v>
      </c>
      <c r="AT10" s="282">
        <v>62.41</v>
      </c>
      <c r="AU10" s="28"/>
      <c r="AV10" s="78">
        <f t="shared" ref="AV10:BB19" si="22">AW10*AV$8/AW$8</f>
        <v>0</v>
      </c>
      <c r="AW10" s="78">
        <f t="shared" si="22"/>
        <v>0</v>
      </c>
      <c r="AX10" s="78">
        <f t="shared" si="22"/>
        <v>0</v>
      </c>
      <c r="AY10" s="78">
        <f t="shared" si="22"/>
        <v>0</v>
      </c>
      <c r="AZ10" s="78">
        <f t="shared" si="22"/>
        <v>0</v>
      </c>
      <c r="BA10" s="78">
        <f t="shared" si="22"/>
        <v>0</v>
      </c>
      <c r="BB10" s="78">
        <f t="shared" si="22"/>
        <v>0</v>
      </c>
      <c r="BC10" s="78">
        <f>AVERAGE(BD10:BH10)*BC$8/BD$8</f>
        <v>0</v>
      </c>
      <c r="BD10" s="592">
        <v>0</v>
      </c>
      <c r="BE10" s="592">
        <v>0</v>
      </c>
      <c r="BF10" s="592">
        <v>0</v>
      </c>
      <c r="BG10" s="592">
        <v>0</v>
      </c>
      <c r="BH10" s="592">
        <v>0</v>
      </c>
      <c r="BI10" s="592">
        <v>0.02</v>
      </c>
      <c r="BJ10" s="28"/>
      <c r="BK10" s="8">
        <v>3744.83</v>
      </c>
      <c r="BL10" s="8">
        <v>2657.6210000000001</v>
      </c>
      <c r="BM10" s="8">
        <v>3198.828</v>
      </c>
      <c r="BN10" s="8">
        <v>5084.4069999999992</v>
      </c>
      <c r="BO10" s="8">
        <v>6357.1049999999996</v>
      </c>
      <c r="BP10" s="8">
        <v>5772.0410000000002</v>
      </c>
      <c r="BQ10" s="8">
        <v>4264.3559999999998</v>
      </c>
      <c r="BR10" s="8">
        <v>5383.2994999999992</v>
      </c>
      <c r="BS10" s="407">
        <v>5090.7995000000001</v>
      </c>
      <c r="BT10" s="407">
        <v>4359.2145</v>
      </c>
      <c r="BU10" s="408">
        <f>(BV10+BT10)/2</f>
        <v>4434.0271453581727</v>
      </c>
      <c r="BV10" s="601">
        <v>4508.8397907163453</v>
      </c>
      <c r="BW10" s="602">
        <v>5234.7976752430231</v>
      </c>
      <c r="BX10" s="722">
        <v>5565.1678736402746</v>
      </c>
      <c r="BY10" s="28"/>
      <c r="BZ10" s="8">
        <v>340.03</v>
      </c>
      <c r="CA10" s="8">
        <v>337.96000000000004</v>
      </c>
      <c r="CB10" s="8">
        <v>519.51</v>
      </c>
      <c r="CC10" s="8">
        <v>284.47000000000003</v>
      </c>
      <c r="CD10" s="8">
        <v>265.7</v>
      </c>
      <c r="CE10" s="8">
        <v>237.87</v>
      </c>
      <c r="CF10" s="8">
        <v>124.84</v>
      </c>
      <c r="CG10" s="8">
        <v>175.55</v>
      </c>
      <c r="CH10" s="8">
        <v>263.75110000000001</v>
      </c>
      <c r="CI10" s="8">
        <v>27.866</v>
      </c>
      <c r="CJ10" s="1">
        <v>32.369999999999997</v>
      </c>
      <c r="CK10" s="1">
        <v>6.1275000000000004</v>
      </c>
      <c r="CL10" s="1">
        <v>7.98</v>
      </c>
      <c r="CM10" s="1">
        <v>47.040000000000006</v>
      </c>
      <c r="CN10" s="28"/>
      <c r="CO10" s="78">
        <f t="shared" ref="CO10:CU19" si="23">CP10*CO$8/CP$8</f>
        <v>9.5567104920340512E-2</v>
      </c>
      <c r="CP10" s="78">
        <f t="shared" si="23"/>
        <v>9.6411530699144904E-2</v>
      </c>
      <c r="CQ10" s="78">
        <f t="shared" si="23"/>
        <v>9.7561800767624482E-2</v>
      </c>
      <c r="CR10" s="78">
        <f t="shared" si="23"/>
        <v>9.8473111756631204E-2</v>
      </c>
      <c r="CS10" s="78">
        <f t="shared" si="23"/>
        <v>9.9203793791341505E-2</v>
      </c>
      <c r="CT10" s="78">
        <f t="shared" si="23"/>
        <v>9.9518970901044904E-2</v>
      </c>
      <c r="CU10" s="78">
        <f t="shared" si="23"/>
        <v>9.9568551507444911E-2</v>
      </c>
      <c r="CV10" s="78">
        <f>AVERAGE(CW10:DA10)*CV$8/CW$8</f>
        <v>9.9791761453120104E-2</v>
      </c>
      <c r="CW10" s="592">
        <v>0</v>
      </c>
      <c r="CX10" s="592">
        <v>0</v>
      </c>
      <c r="CY10" s="592">
        <v>0.5</v>
      </c>
      <c r="CZ10" s="592">
        <v>0</v>
      </c>
      <c r="DA10" s="592">
        <v>0</v>
      </c>
      <c r="DB10" s="592">
        <v>0</v>
      </c>
      <c r="DC10" s="28"/>
      <c r="DD10" s="8">
        <v>0</v>
      </c>
      <c r="DE10" s="8">
        <v>0</v>
      </c>
      <c r="DF10" s="8">
        <v>0</v>
      </c>
      <c r="DG10" s="8">
        <v>0</v>
      </c>
      <c r="DH10" s="8">
        <v>0</v>
      </c>
      <c r="DI10" s="8">
        <v>0</v>
      </c>
      <c r="DJ10" s="8">
        <v>0</v>
      </c>
      <c r="DK10" s="8">
        <v>0</v>
      </c>
      <c r="DL10" s="1">
        <v>0</v>
      </c>
      <c r="DM10" s="1">
        <v>0</v>
      </c>
      <c r="DN10" s="1">
        <v>0</v>
      </c>
      <c r="DO10" s="1">
        <v>0</v>
      </c>
      <c r="DP10" s="1">
        <v>0</v>
      </c>
      <c r="DQ10" s="1">
        <v>0</v>
      </c>
      <c r="DR10" s="28"/>
      <c r="DS10" s="8">
        <v>16.237500000000001</v>
      </c>
      <c r="DT10" s="8">
        <v>56.988250000000008</v>
      </c>
      <c r="DU10" s="8">
        <v>123.3695</v>
      </c>
      <c r="DV10" s="8">
        <v>782.89184999999986</v>
      </c>
      <c r="DW10" s="8">
        <v>5503.6377849999999</v>
      </c>
      <c r="DX10" s="8">
        <v>2688.71821</v>
      </c>
      <c r="DY10" s="8">
        <v>1485.2175000000002</v>
      </c>
      <c r="DZ10" s="8">
        <v>1062.8312999999998</v>
      </c>
      <c r="EA10" s="8">
        <v>5578.3135000000002</v>
      </c>
      <c r="EB10" s="8">
        <v>3627.5515</v>
      </c>
      <c r="EC10" s="281">
        <v>2556.6979999999999</v>
      </c>
      <c r="ED10" s="395">
        <v>1502.7909999999997</v>
      </c>
      <c r="EE10" s="393">
        <v>2152.4369999999999</v>
      </c>
      <c r="EF10" s="393">
        <v>1206.5329999999999</v>
      </c>
      <c r="EH10" s="65"/>
      <c r="EI10" s="249"/>
    </row>
    <row r="11" spans="1:139" s="26" customFormat="1">
      <c r="A11" s="27" t="s">
        <v>67</v>
      </c>
      <c r="B11" s="27"/>
      <c r="C11" s="8">
        <f t="shared" si="9"/>
        <v>0.11425000000000002</v>
      </c>
      <c r="D11" s="8">
        <f t="shared" si="10"/>
        <v>6.93</v>
      </c>
      <c r="E11" s="8">
        <f t="shared" si="11"/>
        <v>7.62</v>
      </c>
      <c r="F11" s="8">
        <f t="shared" si="12"/>
        <v>36.055</v>
      </c>
      <c r="G11" s="8">
        <f t="shared" si="13"/>
        <v>10.93</v>
      </c>
      <c r="H11" s="8">
        <f t="shared" si="14"/>
        <v>7.78</v>
      </c>
      <c r="I11" s="8">
        <f t="shared" si="15"/>
        <v>0.23</v>
      </c>
      <c r="J11" s="8">
        <f t="shared" si="16"/>
        <v>44.582000000000001</v>
      </c>
      <c r="K11" s="8">
        <f t="shared" si="17"/>
        <v>41.9754</v>
      </c>
      <c r="L11" s="8">
        <f t="shared" ref="L11:L41" si="24">SUM(AA11,AP11,BE11,BT11,CI11,CX11,DM11,EB11)</f>
        <v>26.185639999999999</v>
      </c>
      <c r="M11" s="8">
        <f t="shared" si="18"/>
        <v>11.833494948673355</v>
      </c>
      <c r="N11" s="8">
        <f t="shared" ref="N11:N75" si="25">SUM(AC11,AR11,BG11,BV11,CK11,CZ11,DO11,ED11)</f>
        <v>12.031349897346709</v>
      </c>
      <c r="O11" s="8">
        <f t="shared" ref="O11:O42" si="26">SUM(AD11,AS11,BH11,BW11,CL11,DA11,DP11,EE11)</f>
        <v>12.993441402716748</v>
      </c>
      <c r="P11" s="8">
        <f t="shared" ref="P11:P74" si="27">SUM(AE11,AT11,BI11,BX11,CM11,DB11,DQ11,EF11)</f>
        <v>12.845603689674757</v>
      </c>
      <c r="Q11" s="27"/>
      <c r="R11" s="78">
        <f t="shared" si="20"/>
        <v>0</v>
      </c>
      <c r="S11" s="78">
        <f t="shared" si="20"/>
        <v>0</v>
      </c>
      <c r="T11" s="78">
        <f t="shared" si="20"/>
        <v>0</v>
      </c>
      <c r="U11" s="78">
        <f t="shared" si="20"/>
        <v>0</v>
      </c>
      <c r="V11" s="78">
        <f t="shared" si="20"/>
        <v>0</v>
      </c>
      <c r="W11" s="78">
        <f t="shared" si="20"/>
        <v>0</v>
      </c>
      <c r="X11" s="78">
        <f t="shared" si="20"/>
        <v>0</v>
      </c>
      <c r="Y11" s="78">
        <f t="shared" si="21"/>
        <v>0</v>
      </c>
      <c r="Z11" s="592">
        <v>0</v>
      </c>
      <c r="AA11" s="592">
        <v>0</v>
      </c>
      <c r="AB11" s="592">
        <v>0</v>
      </c>
      <c r="AC11" s="592">
        <v>0</v>
      </c>
      <c r="AD11" s="592">
        <v>0</v>
      </c>
      <c r="AE11" s="592">
        <v>0</v>
      </c>
      <c r="AF11" s="27"/>
      <c r="AG11" s="73">
        <f>('Basel data'!F276+'Basel data'!F230)/2</f>
        <v>0.11425000000000002</v>
      </c>
      <c r="AH11" s="73">
        <f>('Basel data'!F230+'Basel data'!F184)/2</f>
        <v>0.01</v>
      </c>
      <c r="AI11" s="73">
        <f>('Basel data'!F184+'Basel data'!F138)/2</f>
        <v>0.51</v>
      </c>
      <c r="AJ11" s="73">
        <f>('Basel data'!F138+0)/2</f>
        <v>0.505</v>
      </c>
      <c r="AK11" s="8">
        <v>0</v>
      </c>
      <c r="AL11" s="315">
        <v>0</v>
      </c>
      <c r="AM11" s="8">
        <v>0</v>
      </c>
      <c r="AN11" s="315">
        <v>0</v>
      </c>
      <c r="AO11" s="282">
        <v>0</v>
      </c>
      <c r="AP11" s="8">
        <v>0</v>
      </c>
      <c r="AQ11" s="1">
        <v>0</v>
      </c>
      <c r="AR11" s="282">
        <v>0</v>
      </c>
      <c r="AS11" s="282">
        <v>0.19999999999999998</v>
      </c>
      <c r="AT11" s="282">
        <v>0</v>
      </c>
      <c r="AU11" s="27"/>
      <c r="AV11" s="78">
        <f t="shared" si="22"/>
        <v>0</v>
      </c>
      <c r="AW11" s="78">
        <f t="shared" si="22"/>
        <v>0</v>
      </c>
      <c r="AX11" s="78">
        <f t="shared" si="22"/>
        <v>0</v>
      </c>
      <c r="AY11" s="78">
        <f t="shared" si="22"/>
        <v>0</v>
      </c>
      <c r="AZ11" s="78">
        <f t="shared" si="22"/>
        <v>0</v>
      </c>
      <c r="BA11" s="78">
        <f t="shared" si="22"/>
        <v>0</v>
      </c>
      <c r="BB11" s="78">
        <f t="shared" si="22"/>
        <v>0</v>
      </c>
      <c r="BC11" s="78">
        <f t="shared" ref="BC11:BC75" si="28">AVERAGE(BD11:BH11)*BC$8/BD$8</f>
        <v>0</v>
      </c>
      <c r="BD11" s="592">
        <v>0</v>
      </c>
      <c r="BE11" s="592">
        <v>0</v>
      </c>
      <c r="BF11" s="592">
        <v>0</v>
      </c>
      <c r="BG11" s="592">
        <v>0</v>
      </c>
      <c r="BH11" s="592">
        <v>0</v>
      </c>
      <c r="BI11" s="721">
        <v>0</v>
      </c>
      <c r="BJ11" s="27"/>
      <c r="BK11" s="8"/>
      <c r="BL11" s="8">
        <v>6.6</v>
      </c>
      <c r="BM11" s="8">
        <v>7.11</v>
      </c>
      <c r="BN11" s="8">
        <v>29.14</v>
      </c>
      <c r="BO11" s="8">
        <v>10.93</v>
      </c>
      <c r="BP11" s="8">
        <v>7.78</v>
      </c>
      <c r="BQ11" s="8">
        <v>0</v>
      </c>
      <c r="BR11" s="8">
        <v>44.012</v>
      </c>
      <c r="BS11" s="407">
        <v>33.864000000000004</v>
      </c>
      <c r="BT11" s="407">
        <v>11.63564</v>
      </c>
      <c r="BU11" s="408">
        <f t="shared" ref="BU11:BU75" si="29">(BV11+BT11)/2</f>
        <v>11.833494948673355</v>
      </c>
      <c r="BV11" s="601">
        <v>12.031349897346709</v>
      </c>
      <c r="BW11" s="602">
        <v>12.649441402716748</v>
      </c>
      <c r="BX11" s="722">
        <v>12.845603689674757</v>
      </c>
      <c r="BY11" s="27"/>
      <c r="BZ11" s="315">
        <v>0</v>
      </c>
      <c r="CA11" s="315">
        <v>0.32</v>
      </c>
      <c r="CB11" s="315">
        <v>0</v>
      </c>
      <c r="CC11" s="315">
        <v>6.41</v>
      </c>
      <c r="CD11" s="315">
        <v>0</v>
      </c>
      <c r="CE11" s="315">
        <v>0</v>
      </c>
      <c r="CF11" s="315">
        <v>0.23</v>
      </c>
      <c r="CG11" s="315">
        <v>0.56999999999999995</v>
      </c>
      <c r="CH11" s="8">
        <v>2.16</v>
      </c>
      <c r="CI11" s="8">
        <v>0</v>
      </c>
      <c r="CJ11" s="1">
        <v>0</v>
      </c>
      <c r="CK11" s="1">
        <v>0</v>
      </c>
      <c r="CL11" s="1">
        <v>0</v>
      </c>
      <c r="CM11" s="1">
        <v>0</v>
      </c>
      <c r="CN11" s="27"/>
      <c r="CO11" s="78">
        <f t="shared" si="23"/>
        <v>0</v>
      </c>
      <c r="CP11" s="78">
        <f t="shared" si="23"/>
        <v>0</v>
      </c>
      <c r="CQ11" s="78">
        <f t="shared" si="23"/>
        <v>0</v>
      </c>
      <c r="CR11" s="78">
        <f t="shared" si="23"/>
        <v>0</v>
      </c>
      <c r="CS11" s="78">
        <f t="shared" si="23"/>
        <v>0</v>
      </c>
      <c r="CT11" s="78">
        <f t="shared" si="23"/>
        <v>0</v>
      </c>
      <c r="CU11" s="78">
        <f t="shared" si="23"/>
        <v>0</v>
      </c>
      <c r="CV11" s="78">
        <f t="shared" ref="CV11:CV75" si="30">AVERAGE(CW11:DA11)*CV$8/CW$8</f>
        <v>0</v>
      </c>
      <c r="CW11" s="592">
        <v>0</v>
      </c>
      <c r="CX11" s="592">
        <v>0</v>
      </c>
      <c r="CY11" s="592">
        <v>0</v>
      </c>
      <c r="CZ11" s="592">
        <v>0</v>
      </c>
      <c r="DA11" s="592">
        <v>0</v>
      </c>
      <c r="DB11" s="592">
        <v>0</v>
      </c>
      <c r="DC11" s="27"/>
      <c r="DD11" s="8">
        <v>0</v>
      </c>
      <c r="DE11" s="8">
        <v>0</v>
      </c>
      <c r="DF11" s="8">
        <v>0</v>
      </c>
      <c r="DG11" s="8">
        <v>0</v>
      </c>
      <c r="DH11" s="8">
        <v>0</v>
      </c>
      <c r="DI11" s="8">
        <v>0</v>
      </c>
      <c r="DJ11" s="8">
        <v>0</v>
      </c>
      <c r="DK11" s="8">
        <v>0</v>
      </c>
      <c r="DL11" s="1">
        <v>0</v>
      </c>
      <c r="DM11" s="1">
        <v>0</v>
      </c>
      <c r="DN11" s="1">
        <v>0</v>
      </c>
      <c r="DO11" s="1">
        <v>0</v>
      </c>
      <c r="DP11" s="1">
        <v>0.14399999999999999</v>
      </c>
      <c r="DQ11" s="1">
        <v>0</v>
      </c>
      <c r="DR11" s="27"/>
      <c r="DS11" s="8">
        <v>0</v>
      </c>
      <c r="DT11" s="8">
        <v>0</v>
      </c>
      <c r="DU11" s="8">
        <v>0</v>
      </c>
      <c r="DV11" s="8">
        <v>0</v>
      </c>
      <c r="DW11" s="8">
        <v>0</v>
      </c>
      <c r="DX11" s="8">
        <v>0</v>
      </c>
      <c r="DY11" s="8">
        <v>0</v>
      </c>
      <c r="DZ11" s="8">
        <v>0</v>
      </c>
      <c r="EA11" s="8">
        <v>5.9513999999999996</v>
      </c>
      <c r="EB11" s="8">
        <v>14.55</v>
      </c>
      <c r="EC11" s="281">
        <v>0</v>
      </c>
      <c r="ED11" s="395">
        <v>0</v>
      </c>
      <c r="EE11" s="393">
        <v>0</v>
      </c>
      <c r="EF11" s="393">
        <v>0</v>
      </c>
      <c r="EH11" s="65"/>
      <c r="EI11" s="249"/>
    </row>
    <row r="12" spans="1:139" s="26" customFormat="1">
      <c r="A12" s="27" t="s">
        <v>56</v>
      </c>
      <c r="B12" s="27"/>
      <c r="C12" s="8">
        <f t="shared" si="9"/>
        <v>669.39474999999982</v>
      </c>
      <c r="D12" s="8">
        <f t="shared" si="10"/>
        <v>105.3948</v>
      </c>
      <c r="E12" s="8">
        <f t="shared" si="11"/>
        <v>82.452449999999999</v>
      </c>
      <c r="F12" s="8">
        <f t="shared" si="12"/>
        <v>53.605649999999997</v>
      </c>
      <c r="G12" s="8">
        <f t="shared" si="13"/>
        <v>1780.3099</v>
      </c>
      <c r="H12" s="8">
        <f t="shared" si="14"/>
        <v>237.5145</v>
      </c>
      <c r="I12" s="8">
        <f t="shared" si="15"/>
        <v>689.33580000000006</v>
      </c>
      <c r="J12" s="8">
        <f t="shared" si="16"/>
        <v>123.99709999999999</v>
      </c>
      <c r="K12" s="8">
        <f t="shared" si="17"/>
        <v>188.66316162999999</v>
      </c>
      <c r="L12" s="8">
        <f t="shared" si="24"/>
        <v>44.467640000000003</v>
      </c>
      <c r="M12" s="8">
        <f t="shared" si="18"/>
        <v>32.659023615767659</v>
      </c>
      <c r="N12" s="8">
        <f t="shared" si="25"/>
        <v>87.464547231535306</v>
      </c>
      <c r="O12" s="8">
        <f t="shared" si="26"/>
        <v>65.141951028321515</v>
      </c>
      <c r="P12" s="8">
        <f t="shared" si="27"/>
        <v>59.910199940002904</v>
      </c>
      <c r="Q12" s="27"/>
      <c r="R12" s="78">
        <f t="shared" si="20"/>
        <v>0</v>
      </c>
      <c r="S12" s="78">
        <f t="shared" si="20"/>
        <v>0</v>
      </c>
      <c r="T12" s="78">
        <f t="shared" si="20"/>
        <v>0</v>
      </c>
      <c r="U12" s="78">
        <f t="shared" si="20"/>
        <v>0</v>
      </c>
      <c r="V12" s="78">
        <f t="shared" si="20"/>
        <v>0</v>
      </c>
      <c r="W12" s="78">
        <f t="shared" si="20"/>
        <v>0</v>
      </c>
      <c r="X12" s="78">
        <f t="shared" si="20"/>
        <v>0</v>
      </c>
      <c r="Y12" s="78">
        <f>AVERAGE(AA12:AD12)*Y$8/Z$8</f>
        <v>0</v>
      </c>
      <c r="Z12" s="592">
        <v>44.5</v>
      </c>
      <c r="AA12" s="592">
        <v>0</v>
      </c>
      <c r="AB12" s="592">
        <v>0</v>
      </c>
      <c r="AC12" s="592">
        <v>0</v>
      </c>
      <c r="AD12" s="592">
        <v>0</v>
      </c>
      <c r="AE12" s="592">
        <v>0</v>
      </c>
      <c r="AF12" s="27"/>
      <c r="AG12" s="73">
        <f>('Basel data'!F302+'Basel data'!F256)/2</f>
        <v>0.16975000000000001</v>
      </c>
      <c r="AH12" s="73">
        <f>('Basel data'!F256+'Basel data'!F210)/2</f>
        <v>0</v>
      </c>
      <c r="AI12" s="73">
        <f>('Basel data'!F210+'Basel data'!F164)/2</f>
        <v>0.44945000000000002</v>
      </c>
      <c r="AJ12" s="73">
        <f>('Basel data'!F164+'Basel data'!F118)/2</f>
        <v>2.9494500000000001</v>
      </c>
      <c r="AK12" s="8">
        <v>4.0145000000000008</v>
      </c>
      <c r="AL12" s="315">
        <v>5.8295000000000003</v>
      </c>
      <c r="AM12" s="8">
        <v>0.7599999999999999</v>
      </c>
      <c r="AN12" s="315">
        <v>0.60050000000000003</v>
      </c>
      <c r="AO12" s="282">
        <v>2.3499999999999993E-2</v>
      </c>
      <c r="AP12" s="8">
        <v>8.1369000000000007</v>
      </c>
      <c r="AQ12" s="1">
        <v>13.066099999999999</v>
      </c>
      <c r="AR12" s="282">
        <v>12.838699999999999</v>
      </c>
      <c r="AS12" s="282">
        <v>16.622399999999995</v>
      </c>
      <c r="AT12" s="282">
        <v>3.6068000000000002</v>
      </c>
      <c r="AU12" s="27"/>
      <c r="AV12" s="78">
        <f t="shared" si="22"/>
        <v>0</v>
      </c>
      <c r="AW12" s="78">
        <f t="shared" si="22"/>
        <v>0</v>
      </c>
      <c r="AX12" s="78">
        <f t="shared" si="22"/>
        <v>0</v>
      </c>
      <c r="AY12" s="78">
        <f t="shared" si="22"/>
        <v>0</v>
      </c>
      <c r="AZ12" s="78">
        <f t="shared" si="22"/>
        <v>0</v>
      </c>
      <c r="BA12" s="78">
        <f t="shared" si="22"/>
        <v>0</v>
      </c>
      <c r="BB12" s="78">
        <f t="shared" si="22"/>
        <v>0</v>
      </c>
      <c r="BC12" s="78">
        <f t="shared" si="28"/>
        <v>0</v>
      </c>
      <c r="BD12" s="592">
        <v>0</v>
      </c>
      <c r="BE12" s="592">
        <v>0</v>
      </c>
      <c r="BF12" s="592">
        <v>0</v>
      </c>
      <c r="BG12" s="592">
        <v>0</v>
      </c>
      <c r="BH12" s="592">
        <v>0</v>
      </c>
      <c r="BI12" s="721">
        <v>0</v>
      </c>
      <c r="BJ12" s="27"/>
      <c r="BK12" s="8">
        <v>6.819</v>
      </c>
      <c r="BL12" s="8">
        <v>22.701999999999998</v>
      </c>
      <c r="BM12" s="8">
        <v>9.6669999999999998</v>
      </c>
      <c r="BN12" s="8">
        <v>17.082000000000001</v>
      </c>
      <c r="BO12" s="8">
        <v>1679.3150000000001</v>
      </c>
      <c r="BP12" s="8">
        <v>167.244</v>
      </c>
      <c r="BQ12" s="8">
        <v>539.50800000000004</v>
      </c>
      <c r="BR12" s="8">
        <v>30.615599999999997</v>
      </c>
      <c r="BS12" s="407">
        <v>118.69999999999999</v>
      </c>
      <c r="BT12" s="407">
        <v>6.9799999999999995</v>
      </c>
      <c r="BU12" s="408">
        <f t="shared" si="29"/>
        <v>6.5082236157676574</v>
      </c>
      <c r="BV12" s="601">
        <v>6.0364472315353153</v>
      </c>
      <c r="BW12" s="602">
        <v>5.9264490283215183</v>
      </c>
      <c r="BX12" s="722">
        <v>6.0183539400029096</v>
      </c>
      <c r="BY12" s="27"/>
      <c r="BZ12" s="315">
        <v>25.430000000000003</v>
      </c>
      <c r="CA12" s="315">
        <v>21.35</v>
      </c>
      <c r="CB12" s="315">
        <v>43.580000000000005</v>
      </c>
      <c r="CC12" s="315">
        <v>14.4</v>
      </c>
      <c r="CD12" s="315">
        <v>40.47</v>
      </c>
      <c r="CE12" s="315">
        <v>11.25</v>
      </c>
      <c r="CF12" s="315">
        <v>15.67</v>
      </c>
      <c r="CG12" s="315">
        <v>9.74</v>
      </c>
      <c r="CH12" s="8">
        <v>6.0116616299999999</v>
      </c>
      <c r="CI12" s="8">
        <v>10.015739999999999</v>
      </c>
      <c r="CJ12" s="1">
        <v>9.6046999999999976</v>
      </c>
      <c r="CK12" s="1">
        <v>30.1694</v>
      </c>
      <c r="CL12" s="1">
        <v>1.278502</v>
      </c>
      <c r="CM12" s="1">
        <v>19.541945999999999</v>
      </c>
      <c r="CN12" s="27"/>
      <c r="CO12" s="78">
        <f t="shared" si="23"/>
        <v>0</v>
      </c>
      <c r="CP12" s="78">
        <f t="shared" si="23"/>
        <v>0</v>
      </c>
      <c r="CQ12" s="78">
        <f t="shared" si="23"/>
        <v>0</v>
      </c>
      <c r="CR12" s="78">
        <f t="shared" si="23"/>
        <v>0</v>
      </c>
      <c r="CS12" s="78">
        <f t="shared" si="23"/>
        <v>0</v>
      </c>
      <c r="CT12" s="78">
        <f t="shared" si="23"/>
        <v>0</v>
      </c>
      <c r="CU12" s="78">
        <f t="shared" si="23"/>
        <v>0</v>
      </c>
      <c r="CV12" s="78">
        <f t="shared" si="30"/>
        <v>0</v>
      </c>
      <c r="CW12" s="592">
        <v>0</v>
      </c>
      <c r="CX12" s="592">
        <v>0</v>
      </c>
      <c r="CY12" s="592">
        <v>0</v>
      </c>
      <c r="CZ12" s="592">
        <v>0</v>
      </c>
      <c r="DA12" s="592">
        <v>0</v>
      </c>
      <c r="DB12" s="592">
        <v>0</v>
      </c>
      <c r="DC12" s="27"/>
      <c r="DD12" s="8">
        <v>2.08</v>
      </c>
      <c r="DE12" s="8">
        <v>4.7</v>
      </c>
      <c r="DF12" s="8">
        <v>23.542000000000002</v>
      </c>
      <c r="DG12" s="8">
        <v>6.2109999999999985</v>
      </c>
      <c r="DH12" s="8">
        <v>46.349000000000018</v>
      </c>
      <c r="DI12" s="8">
        <v>38.401000000000003</v>
      </c>
      <c r="DJ12" s="8">
        <v>64.585000000000036</v>
      </c>
      <c r="DK12" s="8">
        <v>34.79099999999999</v>
      </c>
      <c r="DL12" s="8">
        <v>7.0000000000000007E-2</v>
      </c>
      <c r="DM12" s="8">
        <v>19.325999999999997</v>
      </c>
      <c r="DN12" s="1">
        <v>2.62</v>
      </c>
      <c r="DO12" s="1">
        <v>1.9999999999999574E-2</v>
      </c>
      <c r="DP12" s="1">
        <v>39.668199999999999</v>
      </c>
      <c r="DQ12" s="394">
        <v>19.733099999999997</v>
      </c>
      <c r="DR12" s="27"/>
      <c r="DS12" s="8">
        <v>634.89599999999984</v>
      </c>
      <c r="DT12" s="8">
        <v>56.642800000000001</v>
      </c>
      <c r="DU12" s="8">
        <v>5.2139999999999995</v>
      </c>
      <c r="DV12" s="8">
        <v>12.963199999999999</v>
      </c>
      <c r="DW12" s="8">
        <v>10.1614</v>
      </c>
      <c r="DX12" s="8">
        <v>14.79</v>
      </c>
      <c r="DY12" s="8">
        <v>68.81280000000001</v>
      </c>
      <c r="DZ12" s="8">
        <v>48.25</v>
      </c>
      <c r="EA12" s="8">
        <v>19.358000000000004</v>
      </c>
      <c r="EB12" s="8">
        <v>8.9999999999999993E-3</v>
      </c>
      <c r="EC12" s="281">
        <v>0.86</v>
      </c>
      <c r="ED12" s="395">
        <v>38.4</v>
      </c>
      <c r="EE12" s="393">
        <v>1.6463999999999999</v>
      </c>
      <c r="EF12" s="393">
        <v>11.01</v>
      </c>
      <c r="EH12" s="65"/>
      <c r="EI12" s="249"/>
    </row>
    <row r="13" spans="1:139" s="26" customFormat="1">
      <c r="A13" s="27" t="s">
        <v>1</v>
      </c>
      <c r="B13" s="28"/>
      <c r="C13" s="8">
        <f t="shared" si="9"/>
        <v>68232.344996463697</v>
      </c>
      <c r="D13" s="8">
        <f t="shared" si="10"/>
        <v>76871.513578587968</v>
      </c>
      <c r="E13" s="8">
        <f t="shared" si="11"/>
        <v>67857.441437625603</v>
      </c>
      <c r="F13" s="8">
        <f t="shared" si="12"/>
        <v>76428.00262479503</v>
      </c>
      <c r="G13" s="8">
        <f t="shared" si="13"/>
        <v>68874.869115759153</v>
      </c>
      <c r="H13" s="8">
        <f t="shared" si="14"/>
        <v>55366.197838396693</v>
      </c>
      <c r="I13" s="8">
        <f t="shared" ca="1" si="15"/>
        <v>56268.394011851204</v>
      </c>
      <c r="J13" s="8">
        <f t="shared" si="16"/>
        <v>64506.502368262714</v>
      </c>
      <c r="K13" s="8">
        <f t="shared" si="17"/>
        <v>52324.427266369661</v>
      </c>
      <c r="L13" s="8">
        <f t="shared" si="24"/>
        <v>64245.568631999995</v>
      </c>
      <c r="M13" s="8">
        <f t="shared" si="18"/>
        <v>69224.859131257574</v>
      </c>
      <c r="N13" s="8">
        <f t="shared" si="25"/>
        <v>64490.422807104042</v>
      </c>
      <c r="O13" s="8">
        <f t="shared" si="26"/>
        <v>48105.380602606776</v>
      </c>
      <c r="P13" s="8">
        <f t="shared" si="27"/>
        <v>60987.018988893848</v>
      </c>
      <c r="Q13" s="28"/>
      <c r="R13" s="78">
        <f t="shared" si="20"/>
        <v>0.24494817997733087</v>
      </c>
      <c r="S13" s="78">
        <f t="shared" si="20"/>
        <v>0.24914308070452487</v>
      </c>
      <c r="T13" s="78">
        <f t="shared" si="20"/>
        <v>0.25415596897645215</v>
      </c>
      <c r="U13" s="78">
        <f t="shared" si="20"/>
        <v>0.25904796882362674</v>
      </c>
      <c r="V13" s="78">
        <f t="shared" si="20"/>
        <v>0.26409632735191857</v>
      </c>
      <c r="W13" s="78">
        <f t="shared" si="20"/>
        <v>0.26913889481794673</v>
      </c>
      <c r="X13" s="78">
        <f t="shared" si="20"/>
        <v>0.27506677092752252</v>
      </c>
      <c r="Y13" s="78">
        <f t="shared" si="21"/>
        <v>0.27993560652564281</v>
      </c>
      <c r="Z13" s="592">
        <v>0</v>
      </c>
      <c r="AA13" s="592">
        <v>1.218</v>
      </c>
      <c r="AB13" s="592">
        <v>0.20300000000000001</v>
      </c>
      <c r="AC13" s="592">
        <v>0</v>
      </c>
      <c r="AD13" s="592">
        <v>0</v>
      </c>
      <c r="AE13" s="592">
        <v>0</v>
      </c>
      <c r="AF13" s="28"/>
      <c r="AG13" s="320">
        <f>(('Basel data'!F303+'Basel data'!F257)/2)-'NEPM data'!H263</f>
        <v>15496.383604772727</v>
      </c>
      <c r="AH13" s="320">
        <f>(('Basel data'!F257+'Basel data'!F211)/2)-'NEPM data'!H248</f>
        <v>19091.662937499997</v>
      </c>
      <c r="AI13" s="320">
        <f>(('Basel data'!F211+'Basel data'!F165)/2)-'NEPM data'!H233</f>
        <v>19999.577937499998</v>
      </c>
      <c r="AJ13" s="320">
        <f>(('Basel data'!F165+'Basel data'!F119)/2)-'NEPM data'!H218</f>
        <v>20571.21</v>
      </c>
      <c r="AK13" s="313">
        <f>25962.84479-'NEPM data'!H203</f>
        <v>15059.394789999998</v>
      </c>
      <c r="AL13" s="317">
        <f>24045.942794-'NEPM data'!H188</f>
        <v>17023.062793999998</v>
      </c>
      <c r="AM13" s="313">
        <f ca="1">21844.80884-'NEPM data'!M27</f>
        <v>13259.128840000001</v>
      </c>
      <c r="AN13" s="317">
        <f>27052-11811</f>
        <v>15241</v>
      </c>
      <c r="AO13" s="282">
        <v>1585.7895999999964</v>
      </c>
      <c r="AP13" s="313">
        <f>19125-10851</f>
        <v>8274</v>
      </c>
      <c r="AQ13" s="78">
        <v>5767.3863661463811</v>
      </c>
      <c r="AR13" s="282">
        <v>4406.2498804301504</v>
      </c>
      <c r="AS13" s="282">
        <v>4936.4144940000106</v>
      </c>
      <c r="AT13" s="282">
        <v>7009.9503759999961</v>
      </c>
      <c r="AU13" s="28"/>
      <c r="AV13" s="78">
        <f t="shared" si="22"/>
        <v>151.90857043563344</v>
      </c>
      <c r="AW13" s="78">
        <f t="shared" si="22"/>
        <v>155.93179473260096</v>
      </c>
      <c r="AX13" s="78">
        <f t="shared" si="22"/>
        <v>160.18465018911985</v>
      </c>
      <c r="AY13" s="78">
        <f t="shared" si="22"/>
        <v>163.96888531689908</v>
      </c>
      <c r="AZ13" s="78">
        <f t="shared" si="22"/>
        <v>165.78002010508484</v>
      </c>
      <c r="BA13" s="78">
        <f t="shared" si="22"/>
        <v>167.54940377335217</v>
      </c>
      <c r="BB13" s="78">
        <f t="shared" si="22"/>
        <v>172.356541339133</v>
      </c>
      <c r="BC13" s="78">
        <f t="shared" si="28"/>
        <v>174.97174510919615</v>
      </c>
      <c r="BD13" s="592">
        <v>0.161</v>
      </c>
      <c r="BE13" s="592">
        <v>7.2999999999999995E-2</v>
      </c>
      <c r="BF13" s="592">
        <v>188</v>
      </c>
      <c r="BG13" s="592">
        <v>28.445</v>
      </c>
      <c r="BH13" s="592">
        <v>658.77</v>
      </c>
      <c r="BI13" s="592">
        <v>1126.2</v>
      </c>
      <c r="BJ13" s="28"/>
      <c r="BK13" s="8">
        <v>16994.197</v>
      </c>
      <c r="BL13" s="8">
        <v>16687.337</v>
      </c>
      <c r="BM13" s="8">
        <v>13054.622000000001</v>
      </c>
      <c r="BN13" s="8">
        <v>14944.204</v>
      </c>
      <c r="BO13" s="8">
        <v>17136.355</v>
      </c>
      <c r="BP13" s="8">
        <v>14434.236999999999</v>
      </c>
      <c r="BQ13" s="8">
        <v>13094.380999999999</v>
      </c>
      <c r="BR13" s="8">
        <v>15763.285000000013</v>
      </c>
      <c r="BS13" s="407">
        <v>17618.806299999997</v>
      </c>
      <c r="BT13" s="407">
        <v>10620.884700000002</v>
      </c>
      <c r="BU13" s="408">
        <f t="shared" si="29"/>
        <v>10858.655989336956</v>
      </c>
      <c r="BV13" s="601">
        <v>11096.427278673907</v>
      </c>
      <c r="BW13" s="602">
        <v>11872.454467606773</v>
      </c>
      <c r="BX13" s="722">
        <v>12179.341913493865</v>
      </c>
      <c r="BY13" s="28"/>
      <c r="BZ13" s="315">
        <v>6079.93</v>
      </c>
      <c r="CA13" s="315">
        <v>7431.41</v>
      </c>
      <c r="CB13" s="315">
        <v>3737.5600000000004</v>
      </c>
      <c r="CC13" s="315">
        <v>5261.43</v>
      </c>
      <c r="CD13" s="315">
        <v>3233.05</v>
      </c>
      <c r="CE13" s="315">
        <v>2077.41</v>
      </c>
      <c r="CF13" s="315">
        <v>1575.0600000000002</v>
      </c>
      <c r="CG13" s="315">
        <v>672.92</v>
      </c>
      <c r="CH13" s="8">
        <v>674.19250636963602</v>
      </c>
      <c r="CI13" s="8">
        <v>1667.5123319999998</v>
      </c>
      <c r="CJ13" s="1">
        <v>1556.9643599999993</v>
      </c>
      <c r="CK13" s="1">
        <v>2003.6574000000001</v>
      </c>
      <c r="CL13" s="1">
        <v>1565.1054649999996</v>
      </c>
      <c r="CM13" s="1">
        <v>1178.4099793999997</v>
      </c>
      <c r="CN13" s="28"/>
      <c r="CO13" s="78">
        <f t="shared" si="23"/>
        <v>4.6684530753586335</v>
      </c>
      <c r="CP13" s="78">
        <f t="shared" si="23"/>
        <v>4.7097032746532284</v>
      </c>
      <c r="CQ13" s="78">
        <f t="shared" si="23"/>
        <v>4.7658939674984548</v>
      </c>
      <c r="CR13" s="78">
        <f t="shared" si="23"/>
        <v>4.8104115093114332</v>
      </c>
      <c r="CS13" s="78">
        <f t="shared" si="23"/>
        <v>4.8461053267070318</v>
      </c>
      <c r="CT13" s="78">
        <f t="shared" si="23"/>
        <v>4.8615017285160436</v>
      </c>
      <c r="CU13" s="78">
        <f t="shared" si="23"/>
        <v>4.8639237411386835</v>
      </c>
      <c r="CV13" s="78">
        <f t="shared" si="30"/>
        <v>4.8748275469849167</v>
      </c>
      <c r="CW13" s="592">
        <v>2.6</v>
      </c>
      <c r="CX13" s="592">
        <v>7.12</v>
      </c>
      <c r="CY13" s="592">
        <v>0.20499999999999999</v>
      </c>
      <c r="CZ13" s="592">
        <v>14.5</v>
      </c>
      <c r="DA13" s="592">
        <v>0</v>
      </c>
      <c r="DB13" s="592">
        <v>6</v>
      </c>
      <c r="DC13" s="28"/>
      <c r="DD13" s="317">
        <f>15127.26+'NEPM data'!H263</f>
        <v>25444.15</v>
      </c>
      <c r="DE13" s="317">
        <f>17891.507+'NEPM data'!H248</f>
        <v>29208.947</v>
      </c>
      <c r="DF13" s="317">
        <f>17477.722+'NEPM data'!H233</f>
        <v>27766.462</v>
      </c>
      <c r="DG13" s="317">
        <f>22033.694+'NEPM data'!H218</f>
        <v>31800.633999999998</v>
      </c>
      <c r="DH13" s="317">
        <f>20139.847+'NEPM data'!H203</f>
        <v>31043.297000000002</v>
      </c>
      <c r="DI13" s="317">
        <f>11332.107+'NEPM data'!H188</f>
        <v>18354.987000000001</v>
      </c>
      <c r="DJ13" s="317">
        <f>14629.18+'NEPM data'!H173</f>
        <v>23214.86</v>
      </c>
      <c r="DK13" s="317">
        <f>16632.837+11811</f>
        <v>28443.837</v>
      </c>
      <c r="DL13" s="8">
        <v>30182.66960000003</v>
      </c>
      <c r="DM13" s="313">
        <f>20684.46+10851</f>
        <v>31535.46</v>
      </c>
      <c r="DN13" s="1">
        <v>48665.451678574245</v>
      </c>
      <c r="DO13" s="1">
        <v>45384.375195999986</v>
      </c>
      <c r="DP13" s="1">
        <v>26093.464275999992</v>
      </c>
      <c r="DQ13" s="394">
        <v>37302.081219999993</v>
      </c>
      <c r="DR13" s="28"/>
      <c r="DS13" s="8">
        <v>4060.8624200000004</v>
      </c>
      <c r="DT13" s="8">
        <v>4291.2659999999996</v>
      </c>
      <c r="DU13" s="8">
        <v>3134.0147999999999</v>
      </c>
      <c r="DV13" s="8">
        <v>3681.4862800000001</v>
      </c>
      <c r="DW13" s="8">
        <v>2231.8821039999998</v>
      </c>
      <c r="DX13" s="8">
        <v>3303.8209999999999</v>
      </c>
      <c r="DY13" s="8">
        <v>4947.4686400000001</v>
      </c>
      <c r="DZ13" s="8">
        <v>4205.3338599999988</v>
      </c>
      <c r="EA13" s="8">
        <v>2260.2082599999999</v>
      </c>
      <c r="EB13" s="8">
        <v>12139.300599999999</v>
      </c>
      <c r="EC13" s="281">
        <v>2187.9927371999984</v>
      </c>
      <c r="ED13" s="395">
        <v>1556.7680519999999</v>
      </c>
      <c r="EE13" s="393">
        <v>2979.1718999999994</v>
      </c>
      <c r="EF13" s="393">
        <v>2185.035499999999</v>
      </c>
      <c r="EH13" s="65"/>
      <c r="EI13" s="249"/>
    </row>
    <row r="14" spans="1:139" s="26" customFormat="1">
      <c r="A14" s="27" t="s">
        <v>2</v>
      </c>
      <c r="B14" s="27"/>
      <c r="C14" s="8">
        <f t="shared" si="9"/>
        <v>218761.60397973956</v>
      </c>
      <c r="D14" s="8">
        <f t="shared" si="10"/>
        <v>169220.87721312552</v>
      </c>
      <c r="E14" s="8">
        <f t="shared" si="11"/>
        <v>165590.46143250694</v>
      </c>
      <c r="F14" s="8">
        <f t="shared" si="12"/>
        <v>207423.8769942348</v>
      </c>
      <c r="G14" s="8">
        <f t="shared" si="13"/>
        <v>299605.64084396162</v>
      </c>
      <c r="H14" s="8">
        <f t="shared" si="14"/>
        <v>390550.65871428477</v>
      </c>
      <c r="I14" s="8">
        <f t="shared" si="15"/>
        <v>334373.29124835809</v>
      </c>
      <c r="J14" s="8">
        <f t="shared" si="16"/>
        <v>432447.10998544144</v>
      </c>
      <c r="K14" s="8">
        <f t="shared" si="17"/>
        <v>275611.61920919415</v>
      </c>
      <c r="L14" s="8">
        <f t="shared" si="24"/>
        <v>229717.64168840001</v>
      </c>
      <c r="M14" s="8">
        <f t="shared" si="18"/>
        <v>265489.45209199993</v>
      </c>
      <c r="N14" s="8">
        <f t="shared" si="25"/>
        <v>305113.63580498018</v>
      </c>
      <c r="O14" s="8">
        <f t="shared" si="26"/>
        <v>269461.20269745</v>
      </c>
      <c r="P14" s="8">
        <f t="shared" si="27"/>
        <v>257541.69203268026</v>
      </c>
      <c r="Q14" s="27"/>
      <c r="R14" s="78">
        <f t="shared" si="20"/>
        <v>1.4104774684479311</v>
      </c>
      <c r="S14" s="78">
        <f t="shared" si="20"/>
        <v>1.4346328345283426</v>
      </c>
      <c r="T14" s="78">
        <f t="shared" si="20"/>
        <v>1.463498392786643</v>
      </c>
      <c r="U14" s="78">
        <f>V14*U$8/V$8</f>
        <v>1.4916678429974146</v>
      </c>
      <c r="V14" s="78">
        <f t="shared" si="20"/>
        <v>1.5207376485271458</v>
      </c>
      <c r="W14" s="78">
        <f t="shared" si="20"/>
        <v>1.5497741075635818</v>
      </c>
      <c r="X14" s="78">
        <f t="shared" si="20"/>
        <v>1.5839084117624584</v>
      </c>
      <c r="Y14" s="78">
        <f>AVERAGE(AA14:AD14)*Y$8/Z$8</f>
        <v>1.611944476000051</v>
      </c>
      <c r="Z14" s="592">
        <v>230.9</v>
      </c>
      <c r="AA14" s="592">
        <v>1.2610000000000001</v>
      </c>
      <c r="AB14" s="592">
        <v>0.39</v>
      </c>
      <c r="AC14" s="592">
        <v>4.8950000000000005</v>
      </c>
      <c r="AD14" s="592">
        <v>0</v>
      </c>
      <c r="AE14" s="592">
        <v>0</v>
      </c>
      <c r="AF14" s="27"/>
      <c r="AG14" s="73">
        <f>('Basel data'!F304+'Basel data'!F258)/2</f>
        <v>17588.575076363639</v>
      </c>
      <c r="AH14" s="73">
        <f>('Basel data'!F258+'Basel data'!F212)/2</f>
        <v>10266.521457499999</v>
      </c>
      <c r="AI14" s="73">
        <f>('Basel data'!F212+'Basel data'!F166)/2</f>
        <v>8127.1954575</v>
      </c>
      <c r="AJ14" s="73">
        <f>('Basel data'!F166+'Basel data'!F120)/2</f>
        <v>7294.6289999999999</v>
      </c>
      <c r="AK14" s="8">
        <v>7088.869854999999</v>
      </c>
      <c r="AL14" s="315">
        <v>6119.2750047500003</v>
      </c>
      <c r="AM14" s="8">
        <v>4892.6956295999989</v>
      </c>
      <c r="AN14" s="315">
        <v>6657.3206550000014</v>
      </c>
      <c r="AO14" s="282">
        <v>571.84296500000005</v>
      </c>
      <c r="AP14" s="8">
        <v>4360.0479310000001</v>
      </c>
      <c r="AQ14" s="1">
        <v>12632.916654999999</v>
      </c>
      <c r="AR14" s="282">
        <v>13623.76092748</v>
      </c>
      <c r="AS14" s="282">
        <v>13474.128885000002</v>
      </c>
      <c r="AT14" s="282">
        <v>18555.19576319999</v>
      </c>
      <c r="AU14" s="27"/>
      <c r="AV14" s="78">
        <f t="shared" si="22"/>
        <v>219.76874583718416</v>
      </c>
      <c r="AW14" s="78">
        <f t="shared" si="22"/>
        <v>225.58921373725488</v>
      </c>
      <c r="AX14" s="78">
        <f t="shared" si="22"/>
        <v>231.74189299179375</v>
      </c>
      <c r="AY14" s="78">
        <f t="shared" si="22"/>
        <v>237.21661114364053</v>
      </c>
      <c r="AZ14" s="78">
        <f t="shared" si="22"/>
        <v>239.83681104283147</v>
      </c>
      <c r="BA14" s="78">
        <f t="shared" si="22"/>
        <v>242.39660887757361</v>
      </c>
      <c r="BB14" s="78">
        <f t="shared" si="22"/>
        <v>249.35117760841499</v>
      </c>
      <c r="BC14" s="78">
        <f t="shared" si="28"/>
        <v>253.13463795569658</v>
      </c>
      <c r="BD14" s="592">
        <v>120.2</v>
      </c>
      <c r="BE14" s="592">
        <v>33.149000000000001</v>
      </c>
      <c r="BF14" s="592">
        <v>607</v>
      </c>
      <c r="BG14" s="592">
        <v>146.35815000000002</v>
      </c>
      <c r="BH14" s="592">
        <v>359.82</v>
      </c>
      <c r="BI14" s="592">
        <v>518.70000000000005</v>
      </c>
      <c r="BJ14" s="27"/>
      <c r="BK14" s="8">
        <v>35913.754000000001</v>
      </c>
      <c r="BL14" s="8">
        <v>20122.938999999998</v>
      </c>
      <c r="BM14" s="8">
        <v>30019.852999999999</v>
      </c>
      <c r="BN14" s="8">
        <v>30219.267</v>
      </c>
      <c r="BO14" s="8">
        <v>54329.81</v>
      </c>
      <c r="BP14" s="8">
        <v>92687.907999999996</v>
      </c>
      <c r="BQ14" s="8">
        <v>167616.28099999999</v>
      </c>
      <c r="BR14" s="8">
        <v>284692.25642000063</v>
      </c>
      <c r="BS14" s="407">
        <v>153583.26949000001</v>
      </c>
      <c r="BT14" s="407">
        <v>104609.33832000001</v>
      </c>
      <c r="BU14" s="408">
        <f t="shared" si="29"/>
        <v>137423.32027000003</v>
      </c>
      <c r="BV14" s="406">
        <v>170237.30222000001</v>
      </c>
      <c r="BW14" s="8">
        <v>119351.57299999999</v>
      </c>
      <c r="BX14" s="396">
        <v>103774.63808000041</v>
      </c>
      <c r="BY14" s="27"/>
      <c r="BZ14" s="315">
        <v>7313.4</v>
      </c>
      <c r="CA14" s="315">
        <v>17935.449999999997</v>
      </c>
      <c r="CB14" s="315">
        <v>25455.559999999998</v>
      </c>
      <c r="CC14" s="315">
        <v>49300.83</v>
      </c>
      <c r="CD14" s="315">
        <v>56867.78</v>
      </c>
      <c r="CE14" s="315">
        <v>172991.25</v>
      </c>
      <c r="CF14" s="315">
        <v>54888.800000000003</v>
      </c>
      <c r="CG14" s="315">
        <v>24764.039999999997</v>
      </c>
      <c r="CH14" s="8">
        <v>17089.063902194142</v>
      </c>
      <c r="CI14" s="8">
        <v>12985.576654900004</v>
      </c>
      <c r="CJ14" s="1">
        <v>16215.317029000003</v>
      </c>
      <c r="CK14" s="1">
        <v>18825.576902499997</v>
      </c>
      <c r="CL14" s="1">
        <v>20250.819204949996</v>
      </c>
      <c r="CM14" s="1">
        <v>14429.76198648</v>
      </c>
      <c r="CN14" s="27"/>
      <c r="CO14" s="78">
        <f t="shared" si="23"/>
        <v>9.7554900702683582</v>
      </c>
      <c r="CP14" s="78">
        <f t="shared" si="23"/>
        <v>9.8416890537687109</v>
      </c>
      <c r="CQ14" s="78">
        <f t="shared" si="23"/>
        <v>9.959108622359107</v>
      </c>
      <c r="CR14" s="78">
        <f t="shared" si="23"/>
        <v>10.052135248116914</v>
      </c>
      <c r="CS14" s="78">
        <f t="shared" si="23"/>
        <v>10.126723270220142</v>
      </c>
      <c r="CT14" s="78">
        <f t="shared" si="23"/>
        <v>10.158896549578666</v>
      </c>
      <c r="CU14" s="78">
        <f t="shared" si="23"/>
        <v>10.163957737879977</v>
      </c>
      <c r="CV14" s="78">
        <f t="shared" si="30"/>
        <v>10.186743009134501</v>
      </c>
      <c r="CW14" s="592">
        <v>1.6</v>
      </c>
      <c r="CX14" s="592">
        <v>15</v>
      </c>
      <c r="CY14" s="592">
        <v>23.88</v>
      </c>
      <c r="CZ14" s="592">
        <v>9.5</v>
      </c>
      <c r="DA14" s="592">
        <v>1.06</v>
      </c>
      <c r="DB14" s="592">
        <v>6.5</v>
      </c>
      <c r="DC14" s="27"/>
      <c r="DD14" s="8">
        <v>10214.25200000001</v>
      </c>
      <c r="DE14" s="8">
        <v>9532.8809999999994</v>
      </c>
      <c r="DF14" s="8">
        <v>9266.918000000016</v>
      </c>
      <c r="DG14" s="8">
        <v>9885.8480000000145</v>
      </c>
      <c r="DH14" s="8">
        <v>8955.2140000000145</v>
      </c>
      <c r="DI14" s="8">
        <v>8476.7420000000038</v>
      </c>
      <c r="DJ14" s="8">
        <v>9230.7750000000015</v>
      </c>
      <c r="DK14" s="8">
        <v>8553.947000000011</v>
      </c>
      <c r="DL14" s="8">
        <v>6825.1664999999994</v>
      </c>
      <c r="DM14" s="8">
        <v>6892.7500000000045</v>
      </c>
      <c r="DN14" s="1">
        <v>6147.9069999999965</v>
      </c>
      <c r="DO14" s="1">
        <v>8815.9365999999973</v>
      </c>
      <c r="DP14" s="1">
        <v>7058.6334275000008</v>
      </c>
      <c r="DQ14" s="394">
        <v>9266.3966930000006</v>
      </c>
      <c r="DR14" s="27"/>
      <c r="DS14" s="8">
        <v>147500.68819000002</v>
      </c>
      <c r="DT14" s="8">
        <v>111126.22021999999</v>
      </c>
      <c r="DU14" s="8">
        <v>92477.770474999998</v>
      </c>
      <c r="DV14" s="8">
        <v>110474.54258000001</v>
      </c>
      <c r="DW14" s="8">
        <v>172112.48271700001</v>
      </c>
      <c r="DX14" s="8">
        <v>110021.37843000001</v>
      </c>
      <c r="DY14" s="8">
        <v>97483.640574999998</v>
      </c>
      <c r="DZ14" s="8">
        <v>107514.612585</v>
      </c>
      <c r="EA14" s="8">
        <v>97189.576352000004</v>
      </c>
      <c r="EB14" s="8">
        <v>100820.51878249999</v>
      </c>
      <c r="EC14" s="8">
        <v>92438.721137999935</v>
      </c>
      <c r="ED14" s="396">
        <v>93450.306005000151</v>
      </c>
      <c r="EE14" s="393">
        <v>108965.16818000002</v>
      </c>
      <c r="EF14" s="393">
        <v>110990.49950999988</v>
      </c>
      <c r="EH14" s="65"/>
      <c r="EI14" s="249"/>
    </row>
    <row r="15" spans="1:139" s="26" customFormat="1">
      <c r="A15" s="27" t="s">
        <v>3</v>
      </c>
      <c r="B15" s="27"/>
      <c r="C15" s="8">
        <f t="shared" si="9"/>
        <v>121.59022557698</v>
      </c>
      <c r="D15" s="8">
        <f t="shared" si="10"/>
        <v>40.530231551276145</v>
      </c>
      <c r="E15" s="8">
        <f t="shared" si="11"/>
        <v>77.976287866563609</v>
      </c>
      <c r="F15" s="8">
        <f t="shared" si="12"/>
        <v>338.30024348597226</v>
      </c>
      <c r="G15" s="8">
        <f t="shared" si="13"/>
        <v>49.995246175421002</v>
      </c>
      <c r="H15" s="8">
        <f t="shared" si="14"/>
        <v>90.663248802871323</v>
      </c>
      <c r="I15" s="8">
        <f t="shared" si="15"/>
        <v>158.0812559412413</v>
      </c>
      <c r="J15" s="8">
        <f t="shared" si="16"/>
        <v>362.18225982469409</v>
      </c>
      <c r="K15" s="8">
        <f t="shared" si="17"/>
        <v>358.11599999999999</v>
      </c>
      <c r="L15" s="8">
        <f t="shared" si="24"/>
        <v>121.38300000000001</v>
      </c>
      <c r="M15" s="8">
        <f t="shared" si="18"/>
        <v>161.71586618141203</v>
      </c>
      <c r="N15" s="8">
        <f t="shared" si="25"/>
        <v>145.702766099635</v>
      </c>
      <c r="O15" s="8">
        <f t="shared" si="26"/>
        <v>197.39754113122908</v>
      </c>
      <c r="P15" s="8">
        <f t="shared" si="27"/>
        <v>229.68990284463905</v>
      </c>
      <c r="Q15" s="27"/>
      <c r="R15" s="78">
        <f t="shared" si="20"/>
        <v>0</v>
      </c>
      <c r="S15" s="78">
        <f t="shared" si="20"/>
        <v>0</v>
      </c>
      <c r="T15" s="78">
        <f t="shared" si="20"/>
        <v>0</v>
      </c>
      <c r="U15" s="78">
        <f t="shared" si="20"/>
        <v>0</v>
      </c>
      <c r="V15" s="78">
        <f t="shared" si="20"/>
        <v>0</v>
      </c>
      <c r="W15" s="78">
        <f t="shared" si="20"/>
        <v>0</v>
      </c>
      <c r="X15" s="78">
        <f t="shared" si="20"/>
        <v>0</v>
      </c>
      <c r="Y15" s="78">
        <f t="shared" ref="Y15:Y52" si="31">AVERAGE(Z15:AD15)*Y$8/Z$8</f>
        <v>0</v>
      </c>
      <c r="Z15" s="592">
        <v>0</v>
      </c>
      <c r="AA15" s="592">
        <v>0</v>
      </c>
      <c r="AB15" s="592">
        <v>0</v>
      </c>
      <c r="AC15" s="592">
        <v>0</v>
      </c>
      <c r="AD15" s="592">
        <v>0</v>
      </c>
      <c r="AE15" s="592">
        <v>0</v>
      </c>
      <c r="AF15" s="27"/>
      <c r="AG15" s="73">
        <f>('Basel data'!F288+'Basel data'!F242)/2</f>
        <v>0</v>
      </c>
      <c r="AH15" s="73">
        <f>('Basel data'!F242+'Basel data'!F196)/2</f>
        <v>0</v>
      </c>
      <c r="AI15" s="73">
        <f>('Basel data'!F196+'Basel data'!F150)/2</f>
        <v>0.10604999999999999</v>
      </c>
      <c r="AJ15" s="73">
        <f>('Basel data'!G150+0)/2</f>
        <v>0</v>
      </c>
      <c r="AK15" s="8">
        <v>0</v>
      </c>
      <c r="AL15" s="315">
        <v>0</v>
      </c>
      <c r="AM15" s="8">
        <v>0</v>
      </c>
      <c r="AN15" s="315">
        <v>0</v>
      </c>
      <c r="AO15" s="282">
        <v>0</v>
      </c>
      <c r="AP15" s="8">
        <v>0</v>
      </c>
      <c r="AQ15" s="1">
        <v>4</v>
      </c>
      <c r="AR15" s="282">
        <v>4.1360337368109397</v>
      </c>
      <c r="AS15" s="282">
        <v>0</v>
      </c>
      <c r="AT15" s="282">
        <v>35</v>
      </c>
      <c r="AU15" s="27"/>
      <c r="AV15" s="78">
        <f t="shared" si="22"/>
        <v>2.2557698000263119E-4</v>
      </c>
      <c r="AW15" s="78">
        <f t="shared" si="22"/>
        <v>2.3155127614787527E-4</v>
      </c>
      <c r="AX15" s="78">
        <f t="shared" si="22"/>
        <v>2.3786656361005131E-4</v>
      </c>
      <c r="AY15" s="78">
        <f t="shared" si="22"/>
        <v>2.4348597224049465E-4</v>
      </c>
      <c r="AZ15" s="78">
        <f t="shared" si="22"/>
        <v>2.4617542099723719E-4</v>
      </c>
      <c r="BA15" s="78">
        <f t="shared" si="22"/>
        <v>2.4880287133271936E-4</v>
      </c>
      <c r="BB15" s="78">
        <f t="shared" si="22"/>
        <v>2.5594124128404156E-4</v>
      </c>
      <c r="BC15" s="78">
        <f t="shared" si="28"/>
        <v>2.5982469411919482E-4</v>
      </c>
      <c r="BD15" s="592">
        <v>0</v>
      </c>
      <c r="BE15" s="592">
        <v>0</v>
      </c>
      <c r="BF15" s="592">
        <v>0</v>
      </c>
      <c r="BG15" s="592">
        <v>0</v>
      </c>
      <c r="BH15" s="592">
        <v>1.2999999999999999E-3</v>
      </c>
      <c r="BI15" s="721">
        <v>0</v>
      </c>
      <c r="BJ15" s="27"/>
      <c r="BK15" s="8">
        <v>113.89</v>
      </c>
      <c r="BL15" s="8">
        <v>9.65</v>
      </c>
      <c r="BM15" s="8">
        <v>59.16</v>
      </c>
      <c r="BN15" s="8">
        <v>270.06</v>
      </c>
      <c r="BO15" s="8">
        <v>47.063000000000002</v>
      </c>
      <c r="BP15" s="8">
        <v>67.561000000000007</v>
      </c>
      <c r="BQ15" s="8">
        <v>95.24</v>
      </c>
      <c r="BR15" s="8">
        <v>259.25199999999995</v>
      </c>
      <c r="BS15" s="407">
        <v>222.35599999999999</v>
      </c>
      <c r="BT15" s="407">
        <v>118.84500000000001</v>
      </c>
      <c r="BU15" s="408">
        <f t="shared" si="29"/>
        <v>120.86586618141203</v>
      </c>
      <c r="BV15" s="601">
        <v>122.88673236282405</v>
      </c>
      <c r="BW15" s="602">
        <v>191.61344113122911</v>
      </c>
      <c r="BX15" s="722">
        <v>194.58490284463906</v>
      </c>
      <c r="BY15" s="27"/>
      <c r="BZ15" s="315">
        <v>0</v>
      </c>
      <c r="CA15" s="315">
        <v>30.88</v>
      </c>
      <c r="CB15" s="315">
        <v>12.79</v>
      </c>
      <c r="CC15" s="315">
        <v>58.64</v>
      </c>
      <c r="CD15" s="315">
        <v>0.99</v>
      </c>
      <c r="CE15" s="315">
        <v>6.91</v>
      </c>
      <c r="CF15" s="315">
        <v>50.81</v>
      </c>
      <c r="CG15" s="315">
        <v>45.38</v>
      </c>
      <c r="CH15" s="8">
        <v>0.01</v>
      </c>
      <c r="CI15" s="8">
        <v>8.0000000000000002E-3</v>
      </c>
      <c r="CJ15" s="1">
        <v>0</v>
      </c>
      <c r="CK15" s="1">
        <v>0</v>
      </c>
      <c r="CL15" s="1">
        <v>0</v>
      </c>
      <c r="CM15" s="1">
        <v>0</v>
      </c>
      <c r="CN15" s="27"/>
      <c r="CO15" s="78">
        <f t="shared" si="23"/>
        <v>0</v>
      </c>
      <c r="CP15" s="78">
        <f t="shared" si="23"/>
        <v>0</v>
      </c>
      <c r="CQ15" s="78">
        <f t="shared" si="23"/>
        <v>0</v>
      </c>
      <c r="CR15" s="78">
        <f t="shared" si="23"/>
        <v>0</v>
      </c>
      <c r="CS15" s="78">
        <f t="shared" si="23"/>
        <v>0</v>
      </c>
      <c r="CT15" s="78">
        <f t="shared" si="23"/>
        <v>0</v>
      </c>
      <c r="CU15" s="78">
        <f t="shared" si="23"/>
        <v>0</v>
      </c>
      <c r="CV15" s="78">
        <f t="shared" si="30"/>
        <v>0</v>
      </c>
      <c r="CW15" s="592">
        <v>0</v>
      </c>
      <c r="CX15" s="592">
        <v>0</v>
      </c>
      <c r="CY15" s="592">
        <v>0</v>
      </c>
      <c r="CZ15" s="592">
        <v>0</v>
      </c>
      <c r="DA15" s="592">
        <v>0</v>
      </c>
      <c r="DB15" s="592">
        <v>0</v>
      </c>
      <c r="DC15" s="27"/>
      <c r="DD15" s="8">
        <v>0</v>
      </c>
      <c r="DE15" s="8">
        <v>0</v>
      </c>
      <c r="DF15" s="8">
        <v>1.1000000000000001</v>
      </c>
      <c r="DG15" s="8">
        <v>2</v>
      </c>
      <c r="DH15" s="8">
        <v>0.622</v>
      </c>
      <c r="DI15" s="8">
        <v>9.14</v>
      </c>
      <c r="DJ15" s="8">
        <v>11.250999999999999</v>
      </c>
      <c r="DK15" s="8">
        <v>13</v>
      </c>
      <c r="DL15" s="8">
        <v>75.430000000000007</v>
      </c>
      <c r="DM15" s="8">
        <v>2.33</v>
      </c>
      <c r="DN15" s="1">
        <v>1.8</v>
      </c>
      <c r="DO15" s="1">
        <v>4.68</v>
      </c>
      <c r="DP15" s="1">
        <v>5.7625000000000002</v>
      </c>
      <c r="DQ15" s="394">
        <v>0</v>
      </c>
      <c r="DR15" s="27"/>
      <c r="DS15" s="8">
        <v>7.7</v>
      </c>
      <c r="DT15" s="8">
        <v>0</v>
      </c>
      <c r="DU15" s="8">
        <v>4.82</v>
      </c>
      <c r="DV15" s="8">
        <v>7.6</v>
      </c>
      <c r="DW15" s="8">
        <v>1.32</v>
      </c>
      <c r="DX15" s="8">
        <v>7.0519999999999996</v>
      </c>
      <c r="DY15" s="8">
        <v>0.78</v>
      </c>
      <c r="DZ15" s="8">
        <v>44.55</v>
      </c>
      <c r="EA15" s="8">
        <v>60.32</v>
      </c>
      <c r="EB15" s="8">
        <v>0.2</v>
      </c>
      <c r="EC15" s="281">
        <v>35.049999999999997</v>
      </c>
      <c r="ED15" s="395">
        <v>14</v>
      </c>
      <c r="EE15" s="393">
        <v>2.0300000000000002E-2</v>
      </c>
      <c r="EF15" s="393">
        <v>0.10500000000000001</v>
      </c>
      <c r="EH15" s="65"/>
      <c r="EI15" s="249"/>
    </row>
    <row r="16" spans="1:139" s="26" customFormat="1">
      <c r="A16" s="27" t="s">
        <v>4</v>
      </c>
      <c r="B16" s="27"/>
      <c r="C16" s="8">
        <f t="shared" si="9"/>
        <v>43043.258310950871</v>
      </c>
      <c r="D16" s="8">
        <f t="shared" si="10"/>
        <v>43212.025710938433</v>
      </c>
      <c r="E16" s="8">
        <f t="shared" si="11"/>
        <v>43420.956477582287</v>
      </c>
      <c r="F16" s="8">
        <f t="shared" si="12"/>
        <v>42200.670001908766</v>
      </c>
      <c r="G16" s="8">
        <f t="shared" si="13"/>
        <v>42627.683784376597</v>
      </c>
      <c r="H16" s="8">
        <f t="shared" si="14"/>
        <v>42656.003049673876</v>
      </c>
      <c r="I16" s="8">
        <f t="shared" si="15"/>
        <v>39400.952364789511</v>
      </c>
      <c r="J16" s="8">
        <f t="shared" si="16"/>
        <v>39067.833150394603</v>
      </c>
      <c r="K16" s="8">
        <f t="shared" si="17"/>
        <v>36186.584916000007</v>
      </c>
      <c r="L16" s="8">
        <f t="shared" si="24"/>
        <v>36281.339269586373</v>
      </c>
      <c r="M16" s="8">
        <f t="shared" si="18"/>
        <v>33478.776917662079</v>
      </c>
      <c r="N16" s="8">
        <f t="shared" si="25"/>
        <v>34414.788758459086</v>
      </c>
      <c r="O16" s="8">
        <f t="shared" si="26"/>
        <v>34602.536013262252</v>
      </c>
      <c r="P16" s="8">
        <f t="shared" si="27"/>
        <v>36684.503850486632</v>
      </c>
      <c r="Q16" s="27"/>
      <c r="R16" s="78">
        <f t="shared" si="20"/>
        <v>0</v>
      </c>
      <c r="S16" s="78">
        <f t="shared" si="20"/>
        <v>0</v>
      </c>
      <c r="T16" s="78">
        <f t="shared" si="20"/>
        <v>0</v>
      </c>
      <c r="U16" s="78">
        <f t="shared" si="20"/>
        <v>0</v>
      </c>
      <c r="V16" s="78">
        <f t="shared" si="20"/>
        <v>0</v>
      </c>
      <c r="W16" s="78">
        <f t="shared" si="20"/>
        <v>0</v>
      </c>
      <c r="X16" s="78">
        <f t="shared" si="20"/>
        <v>0</v>
      </c>
      <c r="Y16" s="78">
        <f t="shared" si="31"/>
        <v>0</v>
      </c>
      <c r="Z16" s="592">
        <v>0</v>
      </c>
      <c r="AA16" s="592">
        <v>0</v>
      </c>
      <c r="AB16" s="592">
        <v>0</v>
      </c>
      <c r="AC16" s="592">
        <v>0</v>
      </c>
      <c r="AD16" s="592">
        <v>0</v>
      </c>
      <c r="AE16" s="592">
        <v>0</v>
      </c>
      <c r="AF16" s="27"/>
      <c r="AG16" s="376">
        <f>'D110 and J100'!D43</f>
        <v>15447.392201946474</v>
      </c>
      <c r="AH16" s="376">
        <f>'D110 and J100'!E43</f>
        <v>15506.631563941606</v>
      </c>
      <c r="AI16" s="376">
        <f>'D110 and J100'!F43</f>
        <v>15581.946395389294</v>
      </c>
      <c r="AJ16" s="376">
        <f>'D110 and J100'!G43</f>
        <v>15144.99940002433</v>
      </c>
      <c r="AK16" s="376">
        <f>'D110 and J100'!H43</f>
        <v>15297.88117187348</v>
      </c>
      <c r="AL16" s="376">
        <f>'D110 and J100'!I43</f>
        <v>15298.012764595085</v>
      </c>
      <c r="AM16" s="376">
        <f>'D110 and J100'!J43</f>
        <v>14120.4277447559</v>
      </c>
      <c r="AN16" s="376">
        <f>'D110 and J100'!K43</f>
        <v>14001.431888206587</v>
      </c>
      <c r="AO16" s="376">
        <v>12980</v>
      </c>
      <c r="AP16" s="377">
        <v>13019.47688564477</v>
      </c>
      <c r="AQ16" s="377">
        <f>'D110 and J100'!N43</f>
        <v>11992.230716375077</v>
      </c>
      <c r="AR16" s="375">
        <f>'D110 and J100'!O43</f>
        <v>12350.118268142778</v>
      </c>
      <c r="AS16" s="375">
        <f>'D110 and J100'!P43</f>
        <v>12417.665594570693</v>
      </c>
      <c r="AT16" s="375">
        <v>15386.054667000013</v>
      </c>
      <c r="AU16" s="27"/>
      <c r="AV16" s="78">
        <f t="shared" si="22"/>
        <v>1.6310950861728721E-2</v>
      </c>
      <c r="AW16" s="78">
        <f t="shared" si="22"/>
        <v>1.6742938429154058E-2</v>
      </c>
      <c r="AX16" s="78">
        <f t="shared" si="22"/>
        <v>1.7199582291803711E-2</v>
      </c>
      <c r="AY16" s="78">
        <f t="shared" si="22"/>
        <v>1.7605908762005001E-2</v>
      </c>
      <c r="AZ16" s="78">
        <f t="shared" si="22"/>
        <v>1.7800376595184846E-2</v>
      </c>
      <c r="BA16" s="78">
        <f t="shared" si="22"/>
        <v>1.7990361465596631E-2</v>
      </c>
      <c r="BB16" s="78">
        <f t="shared" si="22"/>
        <v>1.8506520523615313E-2</v>
      </c>
      <c r="BC16" s="78">
        <f t="shared" si="28"/>
        <v>1.8787324036311011E-2</v>
      </c>
      <c r="BD16" s="592">
        <v>0</v>
      </c>
      <c r="BE16" s="592">
        <v>0</v>
      </c>
      <c r="BF16" s="592">
        <v>0</v>
      </c>
      <c r="BG16" s="592">
        <v>0</v>
      </c>
      <c r="BH16" s="592">
        <v>9.4E-2</v>
      </c>
      <c r="BI16" s="721">
        <v>0</v>
      </c>
      <c r="BJ16" s="27"/>
      <c r="BK16" s="375">
        <f>'D110 and J100'!D44</f>
        <v>14923.751788321171</v>
      </c>
      <c r="BL16" s="375">
        <f>'D110 and J100'!E44</f>
        <v>14980.983036350366</v>
      </c>
      <c r="BM16" s="375">
        <f>'D110 and J100'!F44</f>
        <v>15053.744822664235</v>
      </c>
      <c r="BN16" s="375">
        <f>'D110 and J100'!G44</f>
        <v>14631.609589854015</v>
      </c>
      <c r="BO16" s="375">
        <f>'D110 and J100'!H44</f>
        <v>14779.308928759127</v>
      </c>
      <c r="BP16" s="375">
        <f>'D110 and J100'!I44</f>
        <v>14779.436060710506</v>
      </c>
      <c r="BQ16" s="375">
        <f>'D110 and J100'!J44</f>
        <v>13641.769177137056</v>
      </c>
      <c r="BR16" s="375">
        <f>'D110 and J100'!K44</f>
        <v>13526.807078436874</v>
      </c>
      <c r="BS16" s="375">
        <v>12540</v>
      </c>
      <c r="BT16" s="375">
        <v>12578.138686131388</v>
      </c>
      <c r="BU16" s="375">
        <f>'D110 and J100'!N44</f>
        <v>11585.714420904736</v>
      </c>
      <c r="BV16" s="375">
        <v>11929.781021897812</v>
      </c>
      <c r="BW16" s="375">
        <f>'D110 and J100'!P44</f>
        <v>11996.727777805585</v>
      </c>
      <c r="BX16" s="723">
        <v>11996.72204379562</v>
      </c>
      <c r="BY16" s="27"/>
      <c r="BZ16" s="315">
        <v>0</v>
      </c>
      <c r="CA16" s="315">
        <v>3.7</v>
      </c>
      <c r="CB16" s="315">
        <v>0.01</v>
      </c>
      <c r="CC16" s="315">
        <v>0.01</v>
      </c>
      <c r="CD16" s="315">
        <v>0</v>
      </c>
      <c r="CE16" s="315">
        <v>0</v>
      </c>
      <c r="CF16" s="315">
        <v>25.64</v>
      </c>
      <c r="CG16" s="315">
        <v>7.3</v>
      </c>
      <c r="CH16" s="8">
        <v>2.7071160000000001</v>
      </c>
      <c r="CI16" s="8">
        <v>2.1118000000000001</v>
      </c>
      <c r="CJ16" s="1">
        <v>2.4974300000000005</v>
      </c>
      <c r="CK16" s="1">
        <v>3.9523199999999994</v>
      </c>
      <c r="CL16" s="1">
        <v>1.3180400000000001</v>
      </c>
      <c r="CM16" s="1">
        <v>0.14558300000000002</v>
      </c>
      <c r="CN16" s="27"/>
      <c r="CO16" s="41">
        <f>'D110 and J100'!D45</f>
        <v>4712.7637226277375</v>
      </c>
      <c r="CP16" s="41">
        <f>'D110 and J100'!E45</f>
        <v>4730.8367483211678</v>
      </c>
      <c r="CQ16" s="41">
        <f>'D110 and J100'!F45</f>
        <v>4753.8141545255476</v>
      </c>
      <c r="CR16" s="41">
        <f>'D110 and J100'!G45</f>
        <v>4620.5082915328458</v>
      </c>
      <c r="CS16" s="41">
        <f>'D110 and J100'!H45</f>
        <v>4667.1501880291971</v>
      </c>
      <c r="CT16" s="41">
        <f>'D110 and J100'!I45</f>
        <v>4667.1903349612121</v>
      </c>
      <c r="CU16" s="41">
        <f>'D110 and J100'!J45</f>
        <v>4307.9271085695973</v>
      </c>
      <c r="CV16" s="41">
        <f>'D110 and J100'!K45</f>
        <v>4271.6232879274339</v>
      </c>
      <c r="CW16" s="41">
        <v>3960</v>
      </c>
      <c r="CX16" s="41">
        <v>3966.0218978102189</v>
      </c>
      <c r="CY16" s="41">
        <f>'D110 and J100'!N45</f>
        <v>3658.6466592330748</v>
      </c>
      <c r="CZ16" s="41">
        <v>3767.2992700729924</v>
      </c>
      <c r="DA16" s="41">
        <f>'D110 and J100'!P45</f>
        <v>3788.4403508859741</v>
      </c>
      <c r="DB16" s="41">
        <v>2901</v>
      </c>
      <c r="DC16" s="27"/>
      <c r="DD16" s="41">
        <f>'D110 and J100'!D46</f>
        <v>7959.3342871046243</v>
      </c>
      <c r="DE16" s="41">
        <f>'D110 and J100'!E46</f>
        <v>7989.8576193868621</v>
      </c>
      <c r="DF16" s="41">
        <f>'D110 and J100'!F46</f>
        <v>8028.6639054209254</v>
      </c>
      <c r="DG16" s="41">
        <f>'D110 and J100'!G46</f>
        <v>7803.5251145888087</v>
      </c>
      <c r="DH16" s="41">
        <f>'D110 and J100'!H46</f>
        <v>7882.2980953382003</v>
      </c>
      <c r="DI16" s="41">
        <f>'D110 and J100'!I46</f>
        <v>7882.3658990456042</v>
      </c>
      <c r="DJ16" s="41">
        <f>'D110 and J100'!J46</f>
        <v>7275.61022780643</v>
      </c>
      <c r="DK16" s="41">
        <f>'D110 and J100'!K46</f>
        <v>7214.297108499667</v>
      </c>
      <c r="DL16" s="41">
        <v>6688</v>
      </c>
      <c r="DM16" s="41">
        <v>6708</v>
      </c>
      <c r="DN16" s="41">
        <f>'D110 and J100'!N46</f>
        <v>6179.0476911491933</v>
      </c>
      <c r="DO16" s="41">
        <v>6362.5498783454996</v>
      </c>
      <c r="DP16" s="41">
        <v>6398</v>
      </c>
      <c r="DQ16" s="726">
        <v>6398.2517566909983</v>
      </c>
      <c r="DR16" s="27"/>
      <c r="DS16" s="8">
        <v>0</v>
      </c>
      <c r="DT16" s="8">
        <v>0</v>
      </c>
      <c r="DU16" s="8">
        <v>2.76</v>
      </c>
      <c r="DV16" s="8">
        <v>0</v>
      </c>
      <c r="DW16" s="8">
        <v>1.0276000000000001</v>
      </c>
      <c r="DX16" s="8">
        <v>28.979999999999997</v>
      </c>
      <c r="DY16" s="8">
        <v>29.5596</v>
      </c>
      <c r="DZ16" s="8">
        <v>46.355000000000004</v>
      </c>
      <c r="EA16" s="8">
        <v>15.877800000000001</v>
      </c>
      <c r="EB16" s="8">
        <v>7.59</v>
      </c>
      <c r="EC16" s="281">
        <v>60.64</v>
      </c>
      <c r="ED16" s="395">
        <v>1.0880000000000001</v>
      </c>
      <c r="EE16" s="393">
        <v>0.29024999999999995</v>
      </c>
      <c r="EF16" s="393">
        <v>2.3297999999999996</v>
      </c>
      <c r="EH16" s="65"/>
      <c r="EI16" s="249"/>
    </row>
    <row r="17" spans="1:139" s="26" customFormat="1">
      <c r="A17" s="27" t="s">
        <v>5</v>
      </c>
      <c r="B17" s="28"/>
      <c r="C17" s="8">
        <f t="shared" si="9"/>
        <v>5774.5157563947059</v>
      </c>
      <c r="D17" s="8">
        <f t="shared" si="10"/>
        <v>6155.1017984138743</v>
      </c>
      <c r="E17" s="8">
        <f t="shared" si="11"/>
        <v>1281.8238114579822</v>
      </c>
      <c r="F17" s="8">
        <f t="shared" si="12"/>
        <v>1035.521748410084</v>
      </c>
      <c r="G17" s="8">
        <f t="shared" si="13"/>
        <v>862.92961521196128</v>
      </c>
      <c r="H17" s="8">
        <f t="shared" si="14"/>
        <v>1422.4203608984362</v>
      </c>
      <c r="I17" s="8">
        <f t="shared" si="15"/>
        <v>701.54410711375021</v>
      </c>
      <c r="J17" s="8">
        <f t="shared" si="16"/>
        <v>2666.1621400635963</v>
      </c>
      <c r="K17" s="8">
        <f t="shared" si="17"/>
        <v>1816.4684562282173</v>
      </c>
      <c r="L17" s="8">
        <f t="shared" si="24"/>
        <v>762.14904622000006</v>
      </c>
      <c r="M17" s="8">
        <f t="shared" si="18"/>
        <v>640.38364581812073</v>
      </c>
      <c r="N17" s="8">
        <f t="shared" si="25"/>
        <v>579.08179273381268</v>
      </c>
      <c r="O17" s="8">
        <f t="shared" si="26"/>
        <v>900.96479150417724</v>
      </c>
      <c r="P17" s="8">
        <f t="shared" si="27"/>
        <v>1209.2552946318829</v>
      </c>
      <c r="Q17" s="28"/>
      <c r="R17" s="78">
        <f t="shared" si="20"/>
        <v>14.424793189847302</v>
      </c>
      <c r="S17" s="78">
        <f t="shared" si="20"/>
        <v>14.671827380700703</v>
      </c>
      <c r="T17" s="78">
        <f t="shared" si="20"/>
        <v>14.967032173049247</v>
      </c>
      <c r="U17" s="78">
        <f t="shared" si="20"/>
        <v>15.255117947300722</v>
      </c>
      <c r="V17" s="78">
        <f t="shared" si="20"/>
        <v>15.552411553342418</v>
      </c>
      <c r="W17" s="78">
        <f t="shared" si="20"/>
        <v>15.849364128577067</v>
      </c>
      <c r="X17" s="78">
        <f t="shared" si="20"/>
        <v>16.19845178843876</v>
      </c>
      <c r="Y17" s="78">
        <f t="shared" si="31"/>
        <v>16.485173439462052</v>
      </c>
      <c r="Z17" s="592">
        <v>61.31</v>
      </c>
      <c r="AA17" s="592">
        <v>12.404</v>
      </c>
      <c r="AB17" s="592">
        <v>2.1589999999999998</v>
      </c>
      <c r="AC17" s="592">
        <v>1.4035</v>
      </c>
      <c r="AD17" s="592">
        <v>6.4050000000000002</v>
      </c>
      <c r="AE17" s="592">
        <v>8.1300000000000008</v>
      </c>
      <c r="AF17" s="28"/>
      <c r="AG17" s="73">
        <f>('Basel data'!F298+'Basel data'!F252)/2</f>
        <v>5557.7169999999996</v>
      </c>
      <c r="AH17" s="73">
        <f>('Basel data'!F252+'Basel data'!F206)/2</f>
        <v>5914.37</v>
      </c>
      <c r="AI17" s="73">
        <f>('Basel data'!F206+'Basel data'!F160)/2</f>
        <v>788.125</v>
      </c>
      <c r="AJ17" s="73">
        <f>('Basel data'!F160+'Basel data'!F114)/2</f>
        <v>749.5</v>
      </c>
      <c r="AK17" s="8">
        <v>448.27824250000009</v>
      </c>
      <c r="AL17" s="315">
        <v>1046.3779400000001</v>
      </c>
      <c r="AM17" s="8">
        <v>211.15625249999988</v>
      </c>
      <c r="AN17" s="315">
        <v>1972.1473559999959</v>
      </c>
      <c r="AO17" s="282">
        <v>752.82318249999992</v>
      </c>
      <c r="AP17" s="8">
        <v>194.14952000000002</v>
      </c>
      <c r="AQ17" s="1">
        <v>153.96366999999998</v>
      </c>
      <c r="AR17" s="282">
        <v>107.30441384757147</v>
      </c>
      <c r="AS17" s="282">
        <v>82.533725000000004</v>
      </c>
      <c r="AT17" s="282">
        <v>35.310242500000001</v>
      </c>
      <c r="AU17" s="28"/>
      <c r="AV17" s="78">
        <f t="shared" si="22"/>
        <v>9.4572281262333924</v>
      </c>
      <c r="AW17" s="78">
        <f t="shared" si="22"/>
        <v>9.7076981943165404</v>
      </c>
      <c r="AX17" s="78">
        <f t="shared" si="22"/>
        <v>9.9724641922115556</v>
      </c>
      <c r="AY17" s="78">
        <f t="shared" si="22"/>
        <v>10.208055737731881</v>
      </c>
      <c r="AZ17" s="78">
        <f t="shared" si="22"/>
        <v>10.320809842454944</v>
      </c>
      <c r="BA17" s="78">
        <f t="shared" si="22"/>
        <v>10.430964687212212</v>
      </c>
      <c r="BB17" s="78">
        <f t="shared" si="22"/>
        <v>10.730238101894491</v>
      </c>
      <c r="BC17" s="78">
        <f t="shared" si="28"/>
        <v>10.893050368372585</v>
      </c>
      <c r="BD17" s="592">
        <v>12</v>
      </c>
      <c r="BE17" s="592">
        <v>1.0840000000000001</v>
      </c>
      <c r="BF17" s="592">
        <v>19</v>
      </c>
      <c r="BG17" s="592">
        <v>2.8980000000000001</v>
      </c>
      <c r="BH17" s="592">
        <v>19.52</v>
      </c>
      <c r="BI17" s="592">
        <v>18.100000000000001</v>
      </c>
      <c r="BJ17" s="28"/>
      <c r="BK17" s="8">
        <v>24.09</v>
      </c>
      <c r="BL17" s="8">
        <v>40.899000000000001</v>
      </c>
      <c r="BM17" s="8">
        <v>108.06700000000001</v>
      </c>
      <c r="BN17" s="8">
        <v>131.292</v>
      </c>
      <c r="BO17" s="8">
        <v>191.97900000000001</v>
      </c>
      <c r="BP17" s="8">
        <v>228.80199999999999</v>
      </c>
      <c r="BQ17" s="8">
        <v>313.15600000000001</v>
      </c>
      <c r="BR17" s="8">
        <v>422.11341999999985</v>
      </c>
      <c r="BS17" s="407">
        <v>94.570220000000006</v>
      </c>
      <c r="BT17" s="407">
        <v>116.34472500000003</v>
      </c>
      <c r="BU17" s="408">
        <f t="shared" si="29"/>
        <v>118.76511456812058</v>
      </c>
      <c r="BV17" s="602">
        <v>121.18550413624114</v>
      </c>
      <c r="BW17" s="602">
        <v>167.29020547917736</v>
      </c>
      <c r="BX17" s="722">
        <v>176.08148814188255</v>
      </c>
      <c r="BY17" s="28"/>
      <c r="BZ17" s="315">
        <v>2.5900000000000003</v>
      </c>
      <c r="CA17" s="315">
        <v>13.36</v>
      </c>
      <c r="CB17" s="315">
        <v>31.52</v>
      </c>
      <c r="CC17" s="315">
        <v>20.990000000000002</v>
      </c>
      <c r="CD17" s="315">
        <v>60.67</v>
      </c>
      <c r="CE17" s="315">
        <v>68.08</v>
      </c>
      <c r="CF17" s="315">
        <v>25.330000000000002</v>
      </c>
      <c r="CG17" s="315">
        <v>74.94</v>
      </c>
      <c r="CH17" s="8">
        <v>200.04783451821729</v>
      </c>
      <c r="CI17" s="8">
        <v>44.624528220000002</v>
      </c>
      <c r="CJ17" s="1">
        <v>52.920470249999987</v>
      </c>
      <c r="CK17" s="1">
        <v>109.9807192</v>
      </c>
      <c r="CL17" s="1">
        <v>126.80226385000006</v>
      </c>
      <c r="CM17" s="1">
        <v>136.49740665000002</v>
      </c>
      <c r="CN17" s="28"/>
      <c r="CO17" s="78">
        <f t="shared" si="23"/>
        <v>8.9833078625120091E-2</v>
      </c>
      <c r="CP17" s="78">
        <f t="shared" si="23"/>
        <v>9.0626838857196218E-2</v>
      </c>
      <c r="CQ17" s="78">
        <f t="shared" si="23"/>
        <v>9.1708092721567019E-2</v>
      </c>
      <c r="CR17" s="78">
        <f t="shared" si="23"/>
        <v>9.2564725051233337E-2</v>
      </c>
      <c r="CS17" s="78">
        <f t="shared" si="23"/>
        <v>9.3251566163861016E-2</v>
      </c>
      <c r="CT17" s="78">
        <f t="shared" si="23"/>
        <v>9.3547832646982215E-2</v>
      </c>
      <c r="CU17" s="78">
        <f t="shared" si="23"/>
        <v>9.3594438416998216E-2</v>
      </c>
      <c r="CV17" s="78">
        <f t="shared" si="30"/>
        <v>9.380425576593289E-2</v>
      </c>
      <c r="CW17" s="592">
        <v>0</v>
      </c>
      <c r="CX17" s="592">
        <v>0</v>
      </c>
      <c r="CY17" s="592">
        <v>0.32</v>
      </c>
      <c r="CZ17" s="592">
        <v>0.15</v>
      </c>
      <c r="DA17" s="592">
        <v>0</v>
      </c>
      <c r="DB17" s="592">
        <v>22.62</v>
      </c>
      <c r="DC17" s="28"/>
      <c r="DD17" s="8">
        <v>165.95699999999999</v>
      </c>
      <c r="DE17" s="8">
        <v>146.48800000000003</v>
      </c>
      <c r="DF17" s="8">
        <v>100.358</v>
      </c>
      <c r="DG17" s="8">
        <v>101.45400000000001</v>
      </c>
      <c r="DH17" s="8">
        <v>55.95</v>
      </c>
      <c r="DI17" s="8">
        <v>47.728999999999999</v>
      </c>
      <c r="DJ17" s="8">
        <v>49.816000000000003</v>
      </c>
      <c r="DK17" s="8">
        <v>99.444000000000017</v>
      </c>
      <c r="DL17" s="8">
        <v>126.6455</v>
      </c>
      <c r="DM17" s="8">
        <v>76.818000000000012</v>
      </c>
      <c r="DN17" s="1">
        <v>82.784000000000006</v>
      </c>
      <c r="DO17" s="1">
        <v>64.41</v>
      </c>
      <c r="DP17" s="1">
        <v>159.53343967500001</v>
      </c>
      <c r="DQ17" s="394">
        <v>174.82353700000002</v>
      </c>
      <c r="DR17" s="28"/>
      <c r="DS17" s="8">
        <v>0.18990199999999999</v>
      </c>
      <c r="DT17" s="8">
        <v>15.514646000000001</v>
      </c>
      <c r="DU17" s="8">
        <v>228.72260699999998</v>
      </c>
      <c r="DV17" s="8">
        <v>6.73001</v>
      </c>
      <c r="DW17" s="8">
        <v>80.085899749999996</v>
      </c>
      <c r="DX17" s="8">
        <v>5.0575442500000003</v>
      </c>
      <c r="DY17" s="8">
        <v>75.063570284999997</v>
      </c>
      <c r="DZ17" s="8">
        <v>70.045335999999992</v>
      </c>
      <c r="EA17" s="8">
        <v>569.07171920999997</v>
      </c>
      <c r="EB17" s="8">
        <v>316.72427300000004</v>
      </c>
      <c r="EC17" s="281">
        <v>210.47139100000021</v>
      </c>
      <c r="ED17" s="395">
        <v>171.74965555000003</v>
      </c>
      <c r="EE17" s="393">
        <v>338.88015749999988</v>
      </c>
      <c r="EF17" s="393">
        <v>637.69262034000019</v>
      </c>
      <c r="EH17" s="65"/>
      <c r="EI17" s="249"/>
    </row>
    <row r="18" spans="1:139" s="26" customFormat="1">
      <c r="A18" s="27" t="s">
        <v>6</v>
      </c>
      <c r="B18" s="27"/>
      <c r="C18" s="8">
        <f t="shared" si="9"/>
        <v>353.77955000000003</v>
      </c>
      <c r="D18" s="8">
        <f t="shared" si="10"/>
        <v>1403.1322050000001</v>
      </c>
      <c r="E18" s="8">
        <f t="shared" si="11"/>
        <v>5925.8251800000007</v>
      </c>
      <c r="F18" s="8">
        <f t="shared" si="12"/>
        <v>6891.891700000001</v>
      </c>
      <c r="G18" s="8">
        <f t="shared" si="13"/>
        <v>816.68880000000001</v>
      </c>
      <c r="H18" s="8">
        <f t="shared" si="14"/>
        <v>1394.7539999999999</v>
      </c>
      <c r="I18" s="8">
        <f t="shared" si="15"/>
        <v>948.7639999999999</v>
      </c>
      <c r="J18" s="8">
        <f t="shared" si="16"/>
        <v>699.19450000000029</v>
      </c>
      <c r="K18" s="8">
        <f t="shared" si="17"/>
        <v>244.1575</v>
      </c>
      <c r="L18" s="8">
        <f t="shared" si="24"/>
        <v>484.65800000000007</v>
      </c>
      <c r="M18" s="8">
        <f t="shared" si="18"/>
        <v>406.22592497042393</v>
      </c>
      <c r="N18" s="8">
        <f t="shared" si="25"/>
        <v>332.22470994084779</v>
      </c>
      <c r="O18" s="8">
        <f t="shared" si="26"/>
        <v>198.49774999999997</v>
      </c>
      <c r="P18" s="8">
        <f t="shared" si="27"/>
        <v>229.82704999999999</v>
      </c>
      <c r="Q18" s="27"/>
      <c r="R18" s="78">
        <f t="shared" si="20"/>
        <v>0</v>
      </c>
      <c r="S18" s="78">
        <f t="shared" si="20"/>
        <v>0</v>
      </c>
      <c r="T18" s="78">
        <f t="shared" si="20"/>
        <v>0</v>
      </c>
      <c r="U18" s="78">
        <f t="shared" si="20"/>
        <v>0</v>
      </c>
      <c r="V18" s="78">
        <f t="shared" si="20"/>
        <v>0</v>
      </c>
      <c r="W18" s="78">
        <f t="shared" si="20"/>
        <v>0</v>
      </c>
      <c r="X18" s="78">
        <f t="shared" si="20"/>
        <v>0</v>
      </c>
      <c r="Y18" s="78">
        <f t="shared" si="31"/>
        <v>0</v>
      </c>
      <c r="Z18" s="592">
        <v>0</v>
      </c>
      <c r="AA18" s="592">
        <v>0</v>
      </c>
      <c r="AB18" s="592">
        <v>0</v>
      </c>
      <c r="AC18" s="592">
        <v>0</v>
      </c>
      <c r="AD18" s="592">
        <v>0</v>
      </c>
      <c r="AE18" s="592">
        <v>0</v>
      </c>
      <c r="AF18" s="27"/>
      <c r="AG18" s="73">
        <f>('Basel data'!F293+'Basel data'!F247)/2</f>
        <v>206.35374999999999</v>
      </c>
      <c r="AH18" s="73">
        <f>('Basel data'!F247+'Basel data'!F201)/2</f>
        <v>162.99916000000002</v>
      </c>
      <c r="AI18" s="73">
        <f>('Basel data'!F201+'Basel data'!F155)/2</f>
        <v>5784.3568600000008</v>
      </c>
      <c r="AJ18" s="73">
        <f>('Basel data'!F155+'Basel data'!F109)/2</f>
        <v>5708.2827000000007</v>
      </c>
      <c r="AK18" s="8">
        <v>121.53999999999999</v>
      </c>
      <c r="AL18" s="315">
        <v>45.756</v>
      </c>
      <c r="AM18" s="8">
        <v>56.558999999999997</v>
      </c>
      <c r="AN18" s="315">
        <v>95.734999999999999</v>
      </c>
      <c r="AO18" s="282">
        <v>5.0000000000000001E-4</v>
      </c>
      <c r="AP18" s="8">
        <v>155.173</v>
      </c>
      <c r="AQ18" s="1">
        <v>18.317499999999999</v>
      </c>
      <c r="AR18" s="282">
        <v>1.1560000000000001E-2</v>
      </c>
      <c r="AS18" s="282">
        <v>0</v>
      </c>
      <c r="AT18" s="282">
        <v>29.8002</v>
      </c>
      <c r="AU18" s="27"/>
      <c r="AV18" s="78">
        <f t="shared" si="22"/>
        <v>0</v>
      </c>
      <c r="AW18" s="78">
        <f t="shared" si="22"/>
        <v>0</v>
      </c>
      <c r="AX18" s="78">
        <f t="shared" si="22"/>
        <v>0</v>
      </c>
      <c r="AY18" s="78">
        <f t="shared" si="22"/>
        <v>0</v>
      </c>
      <c r="AZ18" s="78">
        <f t="shared" si="22"/>
        <v>0</v>
      </c>
      <c r="BA18" s="78">
        <f t="shared" si="22"/>
        <v>0</v>
      </c>
      <c r="BB18" s="78">
        <f t="shared" si="22"/>
        <v>0</v>
      </c>
      <c r="BC18" s="78">
        <f t="shared" si="28"/>
        <v>0</v>
      </c>
      <c r="BD18" s="592">
        <v>0</v>
      </c>
      <c r="BE18" s="592">
        <v>0</v>
      </c>
      <c r="BF18" s="592">
        <v>0</v>
      </c>
      <c r="BG18" s="592">
        <v>0</v>
      </c>
      <c r="BH18" s="592">
        <v>0</v>
      </c>
      <c r="BI18" s="721">
        <v>0</v>
      </c>
      <c r="BJ18" s="27"/>
      <c r="BK18" s="8">
        <v>114.768</v>
      </c>
      <c r="BL18" s="8">
        <v>16.914999999999999</v>
      </c>
      <c r="BM18" s="8">
        <v>78.320999999999998</v>
      </c>
      <c r="BN18" s="8">
        <v>84.87</v>
      </c>
      <c r="BO18" s="8">
        <v>184.33100000000002</v>
      </c>
      <c r="BP18" s="8">
        <v>805.36300000000006</v>
      </c>
      <c r="BQ18" s="8">
        <v>723.3</v>
      </c>
      <c r="BR18" s="8">
        <v>557.22900000000016</v>
      </c>
      <c r="BS18" s="407">
        <v>165.01500000000001</v>
      </c>
      <c r="BT18" s="407">
        <v>291.57700000000006</v>
      </c>
      <c r="BU18" s="408">
        <f t="shared" si="29"/>
        <v>306.46862497042395</v>
      </c>
      <c r="BV18" s="601">
        <v>321.36024994084784</v>
      </c>
      <c r="BW18" s="602">
        <v>174.29699999999997</v>
      </c>
      <c r="BX18" s="722">
        <v>176.74</v>
      </c>
      <c r="BY18" s="27"/>
      <c r="BZ18" s="315">
        <v>5.76</v>
      </c>
      <c r="CA18" s="315">
        <v>2.46</v>
      </c>
      <c r="CB18" s="315">
        <v>11.56</v>
      </c>
      <c r="CC18" s="315">
        <v>70.8</v>
      </c>
      <c r="CD18" s="315">
        <v>279.62</v>
      </c>
      <c r="CE18" s="315">
        <v>488.44</v>
      </c>
      <c r="CF18" s="315">
        <v>0</v>
      </c>
      <c r="CG18" s="315">
        <v>0.82</v>
      </c>
      <c r="CH18" s="8">
        <v>2.1999999999999999E-2</v>
      </c>
      <c r="CI18" s="8">
        <v>3.5880000000000001</v>
      </c>
      <c r="CJ18" s="1">
        <v>21.419800000000002</v>
      </c>
      <c r="CK18" s="1">
        <v>1.2899999999999998E-2</v>
      </c>
      <c r="CL18" s="1">
        <v>0</v>
      </c>
      <c r="CM18" s="1">
        <v>0.97585000000000011</v>
      </c>
      <c r="CN18" s="27"/>
      <c r="CO18" s="78">
        <f t="shared" si="23"/>
        <v>0</v>
      </c>
      <c r="CP18" s="78">
        <f t="shared" si="23"/>
        <v>0</v>
      </c>
      <c r="CQ18" s="78">
        <f t="shared" si="23"/>
        <v>0</v>
      </c>
      <c r="CR18" s="78">
        <f t="shared" si="23"/>
        <v>0</v>
      </c>
      <c r="CS18" s="78">
        <f t="shared" si="23"/>
        <v>0</v>
      </c>
      <c r="CT18" s="78">
        <f t="shared" si="23"/>
        <v>0</v>
      </c>
      <c r="CU18" s="78">
        <f t="shared" si="23"/>
        <v>0</v>
      </c>
      <c r="CV18" s="78">
        <f t="shared" si="30"/>
        <v>0</v>
      </c>
      <c r="CW18" s="592">
        <v>0</v>
      </c>
      <c r="CX18" s="592">
        <v>0</v>
      </c>
      <c r="CY18" s="592">
        <v>0</v>
      </c>
      <c r="CZ18" s="592">
        <v>0</v>
      </c>
      <c r="DA18" s="592">
        <v>0</v>
      </c>
      <c r="DB18" s="592">
        <v>0</v>
      </c>
      <c r="DC18" s="27"/>
      <c r="DD18" s="8">
        <v>7.2570000000000006</v>
      </c>
      <c r="DE18" s="8">
        <v>10.78</v>
      </c>
      <c r="DF18" s="8">
        <v>34.471000000000004</v>
      </c>
      <c r="DG18" s="8">
        <v>12.664999999999999</v>
      </c>
      <c r="DH18" s="8">
        <v>44.701000000000001</v>
      </c>
      <c r="DI18" s="8">
        <v>20.393000000000001</v>
      </c>
      <c r="DJ18" s="8">
        <v>112.105</v>
      </c>
      <c r="DK18" s="8">
        <v>45.06</v>
      </c>
      <c r="DL18" s="8">
        <v>44.12</v>
      </c>
      <c r="DM18" s="8">
        <v>34.32</v>
      </c>
      <c r="DN18" s="1">
        <v>37.929999999999993</v>
      </c>
      <c r="DO18" s="1">
        <v>10.84</v>
      </c>
      <c r="DP18" s="1">
        <v>24.200749999999996</v>
      </c>
      <c r="DQ18" s="394">
        <v>22.116999999999997</v>
      </c>
      <c r="DR18" s="27"/>
      <c r="DS18" s="8">
        <v>19.640799999999999</v>
      </c>
      <c r="DT18" s="8">
        <v>1209.9780450000001</v>
      </c>
      <c r="DU18" s="8">
        <v>17.116320000000002</v>
      </c>
      <c r="DV18" s="8">
        <v>1015.274</v>
      </c>
      <c r="DW18" s="8">
        <v>186.49679999999998</v>
      </c>
      <c r="DX18" s="8">
        <v>34.802</v>
      </c>
      <c r="DY18" s="8">
        <v>56.79999999999999</v>
      </c>
      <c r="DZ18" s="8">
        <v>0.35049999999999998</v>
      </c>
      <c r="EA18" s="8">
        <v>35</v>
      </c>
      <c r="EB18" s="8">
        <v>0</v>
      </c>
      <c r="EC18" s="281">
        <v>22.09</v>
      </c>
      <c r="ED18" s="395">
        <v>0</v>
      </c>
      <c r="EE18" s="393">
        <v>0</v>
      </c>
      <c r="EF18" s="393">
        <v>0.19400000000000001</v>
      </c>
      <c r="EH18" s="65"/>
      <c r="EI18" s="249"/>
    </row>
    <row r="19" spans="1:139" s="26" customFormat="1">
      <c r="A19" s="27" t="s">
        <v>7</v>
      </c>
      <c r="B19" s="27"/>
      <c r="C19" s="8">
        <f t="shared" si="9"/>
        <v>7130.5833223773243</v>
      </c>
      <c r="D19" s="8">
        <f t="shared" si="10"/>
        <v>4012.5844788294021</v>
      </c>
      <c r="E19" s="8">
        <f t="shared" si="11"/>
        <v>2788.5442023571204</v>
      </c>
      <c r="F19" s="8">
        <f t="shared" si="12"/>
        <v>2756.5405322997672</v>
      </c>
      <c r="G19" s="8">
        <f t="shared" si="13"/>
        <v>1748.3647958524473</v>
      </c>
      <c r="H19" s="8">
        <f t="shared" si="14"/>
        <v>9832.1664044010558</v>
      </c>
      <c r="I19" s="8">
        <f t="shared" si="15"/>
        <v>2426.2142935726743</v>
      </c>
      <c r="J19" s="8">
        <f t="shared" si="16"/>
        <v>1922.9963769990195</v>
      </c>
      <c r="K19" s="8">
        <f t="shared" si="17"/>
        <v>1581.1312230000003</v>
      </c>
      <c r="L19" s="8">
        <f t="shared" si="24"/>
        <v>1523.5617499999998</v>
      </c>
      <c r="M19" s="8">
        <f t="shared" si="18"/>
        <v>1558.4423076391918</v>
      </c>
      <c r="N19" s="8">
        <f t="shared" si="25"/>
        <v>1623.3702924044655</v>
      </c>
      <c r="O19" s="8">
        <f t="shared" si="26"/>
        <v>1435.1888877608696</v>
      </c>
      <c r="P19" s="8">
        <f t="shared" si="27"/>
        <v>1357.004903415499</v>
      </c>
      <c r="Q19" s="27"/>
      <c r="R19" s="78">
        <f t="shared" si="20"/>
        <v>1.7237732581092951E-4</v>
      </c>
      <c r="S19" s="78">
        <f t="shared" si="20"/>
        <v>1.7532940232549248E-4</v>
      </c>
      <c r="T19" s="78">
        <f t="shared" si="20"/>
        <v>1.788571210249487E-4</v>
      </c>
      <c r="U19" s="78">
        <f t="shared" si="20"/>
        <v>1.8229976694132774E-4</v>
      </c>
      <c r="V19" s="78">
        <f t="shared" si="20"/>
        <v>1.8585244711605809E-4</v>
      </c>
      <c r="W19" s="78">
        <f t="shared" si="20"/>
        <v>1.8940105194788652E-4</v>
      </c>
      <c r="X19" s="78">
        <f t="shared" si="20"/>
        <v>1.9357267482584276E-4</v>
      </c>
      <c r="Y19" s="78">
        <f t="shared" si="31"/>
        <v>1.9699901937061422E-4</v>
      </c>
      <c r="Z19" s="592">
        <v>0</v>
      </c>
      <c r="AA19" s="592">
        <v>0</v>
      </c>
      <c r="AB19" s="592">
        <v>1E-3</v>
      </c>
      <c r="AC19" s="592">
        <v>0</v>
      </c>
      <c r="AD19" s="592">
        <v>0</v>
      </c>
      <c r="AE19" s="592">
        <v>0</v>
      </c>
      <c r="AF19" s="27"/>
      <c r="AG19" s="73">
        <f>('Basel data'!F290+'Basel data'!F244)/2</f>
        <v>1470.7537499999999</v>
      </c>
      <c r="AH19" s="73">
        <f>('Basel data'!F244+'Basel data'!F198)/2</f>
        <v>1144.7439734999998</v>
      </c>
      <c r="AI19" s="73">
        <f>('Basel data'!F198+'Basel data'!F152)/2</f>
        <v>925.25832349999996</v>
      </c>
      <c r="AJ19" s="73">
        <f>('Basel data'!F152+'Basel data'!F106)/2</f>
        <v>852.05435</v>
      </c>
      <c r="AK19" s="8">
        <v>613.14201000000003</v>
      </c>
      <c r="AL19" s="315">
        <v>7879.9858900000036</v>
      </c>
      <c r="AM19" s="8">
        <v>776.72389999999973</v>
      </c>
      <c r="AN19" s="315">
        <v>645.63713999999993</v>
      </c>
      <c r="AO19" s="282">
        <v>23.202500000000001</v>
      </c>
      <c r="AP19" s="8">
        <v>176.6095</v>
      </c>
      <c r="AQ19" s="1">
        <v>396.5136</v>
      </c>
      <c r="AR19" s="282">
        <v>114.20452802608203</v>
      </c>
      <c r="AS19" s="282">
        <v>200.67739999999998</v>
      </c>
      <c r="AT19" s="282">
        <v>36.148184999999998</v>
      </c>
      <c r="AU19" s="27"/>
      <c r="AV19" s="78">
        <f t="shared" si="22"/>
        <v>0</v>
      </c>
      <c r="AW19" s="78">
        <f t="shared" si="22"/>
        <v>0</v>
      </c>
      <c r="AX19" s="78">
        <f t="shared" si="22"/>
        <v>0</v>
      </c>
      <c r="AY19" s="78">
        <f t="shared" si="22"/>
        <v>0</v>
      </c>
      <c r="AZ19" s="78">
        <f t="shared" si="22"/>
        <v>0</v>
      </c>
      <c r="BA19" s="78">
        <f t="shared" si="22"/>
        <v>0</v>
      </c>
      <c r="BB19" s="78">
        <f t="shared" si="22"/>
        <v>0</v>
      </c>
      <c r="BC19" s="78">
        <f t="shared" si="28"/>
        <v>0</v>
      </c>
      <c r="BD19" s="592">
        <v>0</v>
      </c>
      <c r="BE19" s="592">
        <v>0</v>
      </c>
      <c r="BF19" s="592">
        <v>0</v>
      </c>
      <c r="BG19" s="592">
        <v>0</v>
      </c>
      <c r="BH19" s="592">
        <v>0</v>
      </c>
      <c r="BI19" s="721">
        <v>0</v>
      </c>
      <c r="BJ19" s="27"/>
      <c r="BK19" s="8">
        <v>479.20000000000005</v>
      </c>
      <c r="BL19" s="8">
        <v>390.47500000000002</v>
      </c>
      <c r="BM19" s="8">
        <v>521.77</v>
      </c>
      <c r="BN19" s="8">
        <v>334.21899999999999</v>
      </c>
      <c r="BO19" s="8">
        <v>250.39</v>
      </c>
      <c r="BP19" s="8">
        <v>1468.9290000000001</v>
      </c>
      <c r="BQ19" s="8">
        <v>1149.4690000000001</v>
      </c>
      <c r="BR19" s="8">
        <v>165.72580000000002</v>
      </c>
      <c r="BS19" s="407">
        <v>369.59699999999998</v>
      </c>
      <c r="BT19" s="407">
        <v>766.53289999999993</v>
      </c>
      <c r="BU19" s="408">
        <f t="shared" si="29"/>
        <v>786.40715763919184</v>
      </c>
      <c r="BV19" s="601">
        <v>806.28141527838363</v>
      </c>
      <c r="BW19" s="602">
        <v>890.79678776086973</v>
      </c>
      <c r="BX19" s="722">
        <v>903.72113991549907</v>
      </c>
      <c r="BY19" s="27"/>
      <c r="BZ19" s="315">
        <v>48.19</v>
      </c>
      <c r="CA19" s="315">
        <v>63.24</v>
      </c>
      <c r="CB19" s="315">
        <v>106.19</v>
      </c>
      <c r="CC19" s="315">
        <v>26.2</v>
      </c>
      <c r="CD19" s="315">
        <v>80.5</v>
      </c>
      <c r="CE19" s="315">
        <v>21.5</v>
      </c>
      <c r="CF19" s="315">
        <v>6.95</v>
      </c>
      <c r="CG19" s="315">
        <v>6.4</v>
      </c>
      <c r="CH19" s="8">
        <v>1.396223</v>
      </c>
      <c r="CI19" s="8">
        <v>20.033999999999999</v>
      </c>
      <c r="CJ19" s="1">
        <v>93.007000000000005</v>
      </c>
      <c r="CK19" s="1">
        <v>49.897249100000003</v>
      </c>
      <c r="CL19" s="1">
        <v>11.36835</v>
      </c>
      <c r="CM19" s="1">
        <v>47.331578499999992</v>
      </c>
      <c r="CN19" s="27"/>
      <c r="CO19" s="78">
        <f t="shared" si="23"/>
        <v>0</v>
      </c>
      <c r="CP19" s="78">
        <f t="shared" si="23"/>
        <v>0</v>
      </c>
      <c r="CQ19" s="78">
        <f t="shared" si="23"/>
        <v>0</v>
      </c>
      <c r="CR19" s="78">
        <f t="shared" si="23"/>
        <v>0</v>
      </c>
      <c r="CS19" s="78">
        <f t="shared" si="23"/>
        <v>0</v>
      </c>
      <c r="CT19" s="78">
        <f t="shared" si="23"/>
        <v>0</v>
      </c>
      <c r="CU19" s="78">
        <f t="shared" si="23"/>
        <v>0</v>
      </c>
      <c r="CV19" s="78">
        <f t="shared" si="30"/>
        <v>0</v>
      </c>
      <c r="CW19" s="592">
        <v>0</v>
      </c>
      <c r="CX19" s="592">
        <v>0</v>
      </c>
      <c r="CY19" s="592">
        <v>0</v>
      </c>
      <c r="CZ19" s="592">
        <v>0</v>
      </c>
      <c r="DA19" s="592">
        <v>0</v>
      </c>
      <c r="DB19" s="592">
        <v>0</v>
      </c>
      <c r="DC19" s="27"/>
      <c r="DD19" s="8">
        <v>4895.489999999998</v>
      </c>
      <c r="DE19" s="8">
        <v>2126.0500000000002</v>
      </c>
      <c r="DF19" s="8">
        <v>1124.8949999999995</v>
      </c>
      <c r="DG19" s="8">
        <v>1258.2249999999999</v>
      </c>
      <c r="DH19" s="8">
        <v>753.60200000000009</v>
      </c>
      <c r="DI19" s="8">
        <v>375.38099999999997</v>
      </c>
      <c r="DJ19" s="8">
        <v>427.48</v>
      </c>
      <c r="DK19" s="8">
        <v>884.64300000000003</v>
      </c>
      <c r="DL19" s="8">
        <v>1062.5535000000002</v>
      </c>
      <c r="DM19" s="8">
        <v>455.84100000000007</v>
      </c>
      <c r="DN19" s="1">
        <v>92.259999999999991</v>
      </c>
      <c r="DO19" s="1">
        <v>518.33199999999999</v>
      </c>
      <c r="DP19" s="1">
        <v>288.53674999999998</v>
      </c>
      <c r="DQ19" s="394">
        <v>339.12800000000004</v>
      </c>
      <c r="DR19" s="27"/>
      <c r="DS19" s="8">
        <v>236.9494</v>
      </c>
      <c r="DT19" s="8">
        <v>288.07532999999995</v>
      </c>
      <c r="DU19" s="8">
        <v>110.4307</v>
      </c>
      <c r="DV19" s="8">
        <v>285.84199999999998</v>
      </c>
      <c r="DW19" s="8">
        <v>50.730599999999995</v>
      </c>
      <c r="DX19" s="8">
        <v>86.370325000000008</v>
      </c>
      <c r="DY19" s="8">
        <v>65.591200000000001</v>
      </c>
      <c r="DZ19" s="8">
        <v>220.59023999999999</v>
      </c>
      <c r="EA19" s="8">
        <v>124.38199999999999</v>
      </c>
      <c r="EB19" s="8">
        <v>104.54434999999999</v>
      </c>
      <c r="EC19" s="281">
        <v>190.25354999999996</v>
      </c>
      <c r="ED19" s="395">
        <v>134.6551</v>
      </c>
      <c r="EE19" s="393">
        <v>43.809599999999996</v>
      </c>
      <c r="EF19" s="393">
        <v>30.676000000000002</v>
      </c>
      <c r="EH19" s="65"/>
      <c r="EI19" s="249"/>
    </row>
    <row r="20" spans="1:139" s="26" customFormat="1">
      <c r="A20" s="27" t="s">
        <v>8</v>
      </c>
      <c r="B20" s="27"/>
      <c r="C20" s="8">
        <f t="shared" si="9"/>
        <v>511.49687871661627</v>
      </c>
      <c r="D20" s="8">
        <f t="shared" si="10"/>
        <v>1307.2313088738324</v>
      </c>
      <c r="E20" s="8">
        <f t="shared" si="11"/>
        <v>558.49659919747398</v>
      </c>
      <c r="F20" s="8">
        <f t="shared" si="12"/>
        <v>496.25491469872389</v>
      </c>
      <c r="G20" s="8">
        <f t="shared" si="13"/>
        <v>172.21903359755296</v>
      </c>
      <c r="H20" s="8">
        <f t="shared" si="14"/>
        <v>206.14398246612285</v>
      </c>
      <c r="I20" s="8">
        <f t="shared" si="15"/>
        <v>179.07868870872255</v>
      </c>
      <c r="J20" s="8">
        <f t="shared" si="16"/>
        <v>119.42674336271543</v>
      </c>
      <c r="K20" s="8">
        <f t="shared" si="17"/>
        <v>71.612529199999983</v>
      </c>
      <c r="L20" s="8">
        <f t="shared" si="24"/>
        <v>171.38925</v>
      </c>
      <c r="M20" s="8">
        <f t="shared" si="18"/>
        <v>115.62700888157607</v>
      </c>
      <c r="N20" s="8">
        <f t="shared" si="25"/>
        <v>92.08008755112256</v>
      </c>
      <c r="O20" s="8">
        <f t="shared" si="26"/>
        <v>241.3206827099358</v>
      </c>
      <c r="P20" s="8">
        <f t="shared" si="27"/>
        <v>260.00287019843978</v>
      </c>
      <c r="Q20" s="27"/>
      <c r="R20" s="78">
        <f t="shared" ref="R20:X29" si="32">S20*R$8/S$8</f>
        <v>0</v>
      </c>
      <c r="S20" s="78">
        <f t="shared" si="32"/>
        <v>0</v>
      </c>
      <c r="T20" s="78">
        <f t="shared" si="32"/>
        <v>0</v>
      </c>
      <c r="U20" s="78">
        <f t="shared" si="32"/>
        <v>0</v>
      </c>
      <c r="V20" s="78">
        <f t="shared" si="32"/>
        <v>0</v>
      </c>
      <c r="W20" s="78">
        <f t="shared" si="32"/>
        <v>0</v>
      </c>
      <c r="X20" s="78">
        <f t="shared" si="32"/>
        <v>0</v>
      </c>
      <c r="Y20" s="78">
        <f t="shared" si="31"/>
        <v>0</v>
      </c>
      <c r="Z20" s="592">
        <v>0</v>
      </c>
      <c r="AA20" s="592">
        <v>0</v>
      </c>
      <c r="AB20" s="592">
        <v>0</v>
      </c>
      <c r="AC20" s="592">
        <v>0</v>
      </c>
      <c r="AD20" s="592">
        <v>0</v>
      </c>
      <c r="AE20" s="592">
        <v>0</v>
      </c>
      <c r="AF20" s="27"/>
      <c r="AG20" s="73">
        <f>('Basel data'!F295+'Basel data'!F249)/2</f>
        <v>63.28</v>
      </c>
      <c r="AH20" s="73">
        <f>('Basel data'!F249+'Basel data'!F203)/2</f>
        <v>13.785499999999999</v>
      </c>
      <c r="AI20" s="73">
        <f>('Basel data'!F203+'Basel data'!F157)/2</f>
        <v>17.592750000000002</v>
      </c>
      <c r="AJ20" s="73">
        <f>('Basel data'!F157+'Basel data'!F111)/2</f>
        <v>27.417250000000003</v>
      </c>
      <c r="AK20" s="8">
        <v>18.001799999999992</v>
      </c>
      <c r="AL20" s="315">
        <v>16.018599999999999</v>
      </c>
      <c r="AM20" s="8">
        <v>5.6909999999999981</v>
      </c>
      <c r="AN20" s="315">
        <v>14.763799999999996</v>
      </c>
      <c r="AO20" s="282">
        <v>42.936999999999998</v>
      </c>
      <c r="AP20" s="8">
        <v>2.6209999999999996</v>
      </c>
      <c r="AQ20" s="1">
        <v>17.15461947611935</v>
      </c>
      <c r="AR20" s="282">
        <v>5.6993899999999993</v>
      </c>
      <c r="AS20" s="282">
        <v>2.9049999999999998</v>
      </c>
      <c r="AT20" s="282">
        <v>4.0190000000000001</v>
      </c>
      <c r="AU20" s="27"/>
      <c r="AV20" s="78">
        <f t="shared" ref="AV20:BB29" si="33">AW20*AV$8/AW$8</f>
        <v>7.2878716616234684E-2</v>
      </c>
      <c r="AW20" s="78">
        <f t="shared" si="33"/>
        <v>7.4808873832390446E-2</v>
      </c>
      <c r="AX20" s="78">
        <f t="shared" si="33"/>
        <v>7.6849197474016542E-2</v>
      </c>
      <c r="AY20" s="78">
        <f t="shared" si="33"/>
        <v>7.8664698723852094E-2</v>
      </c>
      <c r="AZ20" s="78">
        <f t="shared" si="33"/>
        <v>7.9533597552953542E-2</v>
      </c>
      <c r="BA20" s="78">
        <f t="shared" si="33"/>
        <v>8.0382466122878554E-2</v>
      </c>
      <c r="BB20" s="78">
        <f t="shared" si="33"/>
        <v>8.2688708722536489E-2</v>
      </c>
      <c r="BC20" s="78">
        <f t="shared" si="28"/>
        <v>8.3943362715432165E-2</v>
      </c>
      <c r="BD20" s="592">
        <v>0</v>
      </c>
      <c r="BE20" s="592">
        <v>0</v>
      </c>
      <c r="BF20" s="592">
        <v>0</v>
      </c>
      <c r="BG20" s="592">
        <v>0</v>
      </c>
      <c r="BH20" s="592">
        <v>0.42</v>
      </c>
      <c r="BI20" s="592">
        <v>33.200000000000003</v>
      </c>
      <c r="BJ20" s="27"/>
      <c r="BK20" s="8">
        <v>394.39400000000001</v>
      </c>
      <c r="BL20" s="8">
        <v>1111.895</v>
      </c>
      <c r="BM20" s="8">
        <v>440.79399999999998</v>
      </c>
      <c r="BN20" s="8">
        <v>355.68700000000001</v>
      </c>
      <c r="BO20" s="8">
        <v>15.486999999999998</v>
      </c>
      <c r="BP20" s="8">
        <v>49.007000000000005</v>
      </c>
      <c r="BQ20" s="8">
        <v>7.234</v>
      </c>
      <c r="BR20" s="8">
        <v>14.661999999999999</v>
      </c>
      <c r="BS20" s="407">
        <v>2.1619999999999999</v>
      </c>
      <c r="BT20" s="407">
        <v>55.198000000000008</v>
      </c>
      <c r="BU20" s="408">
        <f t="shared" si="29"/>
        <v>56.136598775561282</v>
      </c>
      <c r="BV20" s="601">
        <v>57.075197551122564</v>
      </c>
      <c r="BW20" s="602">
        <v>204.24118270993583</v>
      </c>
      <c r="BX20" s="722">
        <v>207.40847019843983</v>
      </c>
      <c r="BY20" s="27"/>
      <c r="BZ20" s="315">
        <v>0.85</v>
      </c>
      <c r="CA20" s="315">
        <v>0.23</v>
      </c>
      <c r="CB20" s="315">
        <v>0.38</v>
      </c>
      <c r="CC20" s="315">
        <v>1.87</v>
      </c>
      <c r="CD20" s="315">
        <v>5.08</v>
      </c>
      <c r="CE20" s="315">
        <v>0.89</v>
      </c>
      <c r="CF20" s="315">
        <v>7.39</v>
      </c>
      <c r="CG20" s="315">
        <v>0.14000000000000001</v>
      </c>
      <c r="CH20" s="8">
        <v>2.0245291999999999</v>
      </c>
      <c r="CI20" s="8">
        <v>0.68925000000000003</v>
      </c>
      <c r="CJ20" s="1">
        <v>10.614999999999998</v>
      </c>
      <c r="CK20" s="1">
        <v>8.3984999999999985</v>
      </c>
      <c r="CL20" s="1">
        <v>2.6074999999999999</v>
      </c>
      <c r="CM20" s="1">
        <v>2.7290999999999999</v>
      </c>
      <c r="CN20" s="27"/>
      <c r="CO20" s="78">
        <f t="shared" ref="CO20:CU29" si="34">CP20*CO$8/CP$8</f>
        <v>0</v>
      </c>
      <c r="CP20" s="78">
        <f t="shared" si="34"/>
        <v>0</v>
      </c>
      <c r="CQ20" s="78">
        <f t="shared" si="34"/>
        <v>0</v>
      </c>
      <c r="CR20" s="78">
        <f t="shared" si="34"/>
        <v>0</v>
      </c>
      <c r="CS20" s="78">
        <f t="shared" si="34"/>
        <v>0</v>
      </c>
      <c r="CT20" s="78">
        <f t="shared" si="34"/>
        <v>0</v>
      </c>
      <c r="CU20" s="78">
        <f t="shared" si="34"/>
        <v>0</v>
      </c>
      <c r="CV20" s="78">
        <f t="shared" si="30"/>
        <v>0</v>
      </c>
      <c r="CW20" s="592">
        <v>0</v>
      </c>
      <c r="CX20" s="592">
        <v>0</v>
      </c>
      <c r="CY20" s="592">
        <v>0</v>
      </c>
      <c r="CZ20" s="592">
        <v>0</v>
      </c>
      <c r="DA20" s="592">
        <v>0</v>
      </c>
      <c r="DB20" s="592">
        <v>0</v>
      </c>
      <c r="DC20" s="27"/>
      <c r="DD20" s="8">
        <v>52.9</v>
      </c>
      <c r="DE20" s="8">
        <v>180.63499999999999</v>
      </c>
      <c r="DF20" s="8">
        <v>99.047999999999988</v>
      </c>
      <c r="DG20" s="8">
        <v>110.03200000000001</v>
      </c>
      <c r="DH20" s="8">
        <v>131.03700000000001</v>
      </c>
      <c r="DI20" s="8">
        <v>139.65599999999998</v>
      </c>
      <c r="DJ20" s="8">
        <v>152.78100000000001</v>
      </c>
      <c r="DK20" s="8">
        <v>58.491999999999997</v>
      </c>
      <c r="DL20" s="8">
        <v>15.269999999999996</v>
      </c>
      <c r="DM20" s="8">
        <v>11.516999999999998</v>
      </c>
      <c r="DN20" s="1">
        <v>1.6027906298954426</v>
      </c>
      <c r="DO20" s="1">
        <v>0</v>
      </c>
      <c r="DP20" s="1">
        <v>0.23399999999999999</v>
      </c>
      <c r="DQ20" s="394">
        <v>7.3352999999999993</v>
      </c>
      <c r="DR20" s="27"/>
      <c r="DS20" s="8">
        <v>0</v>
      </c>
      <c r="DT20" s="8">
        <v>0.61099999999999999</v>
      </c>
      <c r="DU20" s="8">
        <v>0.60499999999999998</v>
      </c>
      <c r="DV20" s="8">
        <v>1.17</v>
      </c>
      <c r="DW20" s="8">
        <v>2.5337000000000001</v>
      </c>
      <c r="DX20" s="8">
        <v>0.49199999999999999</v>
      </c>
      <c r="DY20" s="8">
        <v>5.9</v>
      </c>
      <c r="DZ20" s="8">
        <v>31.285</v>
      </c>
      <c r="EA20" s="8">
        <v>9.2190000000000012</v>
      </c>
      <c r="EB20" s="8">
        <v>101.36399999999999</v>
      </c>
      <c r="EC20" s="281">
        <v>30.118000000000009</v>
      </c>
      <c r="ED20" s="395">
        <v>20.907</v>
      </c>
      <c r="EE20" s="393">
        <v>30.912999999999997</v>
      </c>
      <c r="EF20" s="393">
        <v>5.3110000000000008</v>
      </c>
      <c r="EH20" s="65"/>
      <c r="EI20" s="249"/>
    </row>
    <row r="21" spans="1:139" s="26" customFormat="1">
      <c r="A21" s="27" t="s">
        <v>9</v>
      </c>
      <c r="B21" s="28"/>
      <c r="C21" s="8">
        <f t="shared" si="9"/>
        <v>31.074123565155897</v>
      </c>
      <c r="D21" s="8">
        <f t="shared" si="10"/>
        <v>3.4237881117616102</v>
      </c>
      <c r="E21" s="8">
        <f t="shared" si="11"/>
        <v>2.76416889389554</v>
      </c>
      <c r="F21" s="8">
        <f t="shared" si="12"/>
        <v>1.0455563552493092</v>
      </c>
      <c r="G21" s="8">
        <f t="shared" si="13"/>
        <v>31.310706194086308</v>
      </c>
      <c r="H21" s="8">
        <f t="shared" si="14"/>
        <v>12.408257626463623</v>
      </c>
      <c r="I21" s="8">
        <f t="shared" si="15"/>
        <v>5.4596310460794637</v>
      </c>
      <c r="J21" s="8">
        <f t="shared" si="16"/>
        <v>22.797363126562296</v>
      </c>
      <c r="K21" s="8">
        <f t="shared" si="17"/>
        <v>42.478999999999999</v>
      </c>
      <c r="L21" s="8">
        <f t="shared" si="24"/>
        <v>23.941500000000001</v>
      </c>
      <c r="M21" s="8">
        <f t="shared" si="18"/>
        <v>23.937069102429113</v>
      </c>
      <c r="N21" s="8">
        <f t="shared" si="25"/>
        <v>24.619138204858228</v>
      </c>
      <c r="O21" s="8">
        <f t="shared" si="26"/>
        <v>39.386222137020432</v>
      </c>
      <c r="P21" s="8">
        <f t="shared" si="27"/>
        <v>31.292499999999997</v>
      </c>
      <c r="Q21" s="28"/>
      <c r="R21" s="78">
        <f t="shared" si="32"/>
        <v>0</v>
      </c>
      <c r="S21" s="78">
        <f t="shared" si="32"/>
        <v>0</v>
      </c>
      <c r="T21" s="78">
        <f t="shared" si="32"/>
        <v>0</v>
      </c>
      <c r="U21" s="78">
        <f t="shared" si="32"/>
        <v>0</v>
      </c>
      <c r="V21" s="78">
        <f t="shared" si="32"/>
        <v>0</v>
      </c>
      <c r="W21" s="78">
        <f t="shared" si="32"/>
        <v>0</v>
      </c>
      <c r="X21" s="78">
        <f t="shared" si="32"/>
        <v>0</v>
      </c>
      <c r="Y21" s="78">
        <f t="shared" si="31"/>
        <v>0</v>
      </c>
      <c r="Z21" s="592">
        <v>0</v>
      </c>
      <c r="AA21" s="592">
        <v>0</v>
      </c>
      <c r="AB21" s="592">
        <v>0</v>
      </c>
      <c r="AC21" s="592">
        <v>0</v>
      </c>
      <c r="AD21" s="592">
        <v>0</v>
      </c>
      <c r="AE21" s="592">
        <v>0</v>
      </c>
      <c r="AF21" s="28"/>
      <c r="AG21" s="73">
        <f>('Basel data'!F289+'Basel data'!F243)/2</f>
        <v>0</v>
      </c>
      <c r="AH21" s="73">
        <f>('Basel data'!F243+'Basel data'!F197)/2</f>
        <v>2.02</v>
      </c>
      <c r="AI21" s="73">
        <f>('Basel data'!F197+'Basel data'!F151)/2</f>
        <v>2.0654500000000002</v>
      </c>
      <c r="AJ21" s="73">
        <f>('Basel data'!F151+'Basel data'!F105)/2</f>
        <v>4.5449999999999997E-2</v>
      </c>
      <c r="AK21" s="8">
        <v>0.28650000000000003</v>
      </c>
      <c r="AL21" s="315">
        <v>0</v>
      </c>
      <c r="AM21" s="8">
        <v>0</v>
      </c>
      <c r="AN21" s="315">
        <v>5.0000000000000001E-4</v>
      </c>
      <c r="AO21" s="282">
        <v>0</v>
      </c>
      <c r="AP21" s="8">
        <v>0.67849999999999999</v>
      </c>
      <c r="AQ21" s="1">
        <v>0</v>
      </c>
      <c r="AR21" s="282">
        <v>7.0000000000000062E-3</v>
      </c>
      <c r="AS21" s="282">
        <v>4.1999999999999996E-2</v>
      </c>
      <c r="AT21" s="282">
        <v>5.0000000000000044E-4</v>
      </c>
      <c r="AU21" s="28"/>
      <c r="AV21" s="78">
        <f t="shared" si="33"/>
        <v>0.17612356515590052</v>
      </c>
      <c r="AW21" s="78">
        <f t="shared" si="33"/>
        <v>0.1807881117616103</v>
      </c>
      <c r="AX21" s="78">
        <f t="shared" si="33"/>
        <v>0.18571889389554003</v>
      </c>
      <c r="AY21" s="78">
        <f t="shared" si="33"/>
        <v>0.19010635524930927</v>
      </c>
      <c r="AZ21" s="78">
        <f t="shared" si="33"/>
        <v>0.1922061940863044</v>
      </c>
      <c r="BA21" s="78">
        <f t="shared" si="33"/>
        <v>0.19425762646362318</v>
      </c>
      <c r="BB21" s="78">
        <f t="shared" si="33"/>
        <v>0.19983104607946323</v>
      </c>
      <c r="BC21" s="78">
        <f t="shared" si="28"/>
        <v>0.20286312656229441</v>
      </c>
      <c r="BD21" s="592">
        <v>0</v>
      </c>
      <c r="BE21" s="592">
        <v>0</v>
      </c>
      <c r="BF21" s="592">
        <v>0</v>
      </c>
      <c r="BG21" s="592">
        <v>0</v>
      </c>
      <c r="BH21" s="592">
        <v>1.0149999999999999</v>
      </c>
      <c r="BI21" s="592">
        <v>1E-3</v>
      </c>
      <c r="BJ21" s="28"/>
      <c r="BK21" s="8">
        <v>26.707999999999998</v>
      </c>
      <c r="BL21" s="8">
        <v>0.64700000000000002</v>
      </c>
      <c r="BM21" s="8">
        <v>0</v>
      </c>
      <c r="BN21" s="8">
        <v>0</v>
      </c>
      <c r="BO21" s="8">
        <v>20.661000000000001</v>
      </c>
      <c r="BP21" s="8">
        <v>11.474</v>
      </c>
      <c r="BQ21" s="8">
        <v>0.22600000000000001</v>
      </c>
      <c r="BR21" s="8">
        <v>21.844000000000001</v>
      </c>
      <c r="BS21" s="407">
        <v>0.182</v>
      </c>
      <c r="BT21" s="407">
        <v>23.263000000000002</v>
      </c>
      <c r="BU21" s="408">
        <f t="shared" si="29"/>
        <v>23.937069102429113</v>
      </c>
      <c r="BV21" s="601">
        <v>24.611138204858225</v>
      </c>
      <c r="BW21" s="602">
        <v>33.962222137020433</v>
      </c>
      <c r="BX21" s="722">
        <v>24.599999999999998</v>
      </c>
      <c r="BY21" s="28"/>
      <c r="BZ21" s="315">
        <v>0.36</v>
      </c>
      <c r="CA21" s="315">
        <v>0.42</v>
      </c>
      <c r="CB21" s="315">
        <v>0</v>
      </c>
      <c r="CC21" s="315">
        <v>0.01</v>
      </c>
      <c r="CD21" s="315">
        <v>0</v>
      </c>
      <c r="CE21" s="315">
        <v>0</v>
      </c>
      <c r="CF21" s="315">
        <v>0.59</v>
      </c>
      <c r="CG21" s="315">
        <v>0</v>
      </c>
      <c r="CH21" s="8">
        <v>2.3E-2</v>
      </c>
      <c r="CI21" s="8">
        <v>0</v>
      </c>
      <c r="CJ21" s="1">
        <v>0</v>
      </c>
      <c r="CK21" s="1">
        <v>1.0000000000000009E-3</v>
      </c>
      <c r="CL21" s="1">
        <v>0</v>
      </c>
      <c r="CM21" s="1">
        <v>1E-3</v>
      </c>
      <c r="CN21" s="28"/>
      <c r="CO21" s="78">
        <f t="shared" si="34"/>
        <v>0</v>
      </c>
      <c r="CP21" s="78">
        <f t="shared" si="34"/>
        <v>0</v>
      </c>
      <c r="CQ21" s="78">
        <f t="shared" si="34"/>
        <v>0</v>
      </c>
      <c r="CR21" s="78">
        <f t="shared" si="34"/>
        <v>0</v>
      </c>
      <c r="CS21" s="78">
        <f t="shared" si="34"/>
        <v>0</v>
      </c>
      <c r="CT21" s="78">
        <f t="shared" si="34"/>
        <v>0</v>
      </c>
      <c r="CU21" s="78">
        <f t="shared" si="34"/>
        <v>0</v>
      </c>
      <c r="CV21" s="78">
        <f t="shared" si="30"/>
        <v>0</v>
      </c>
      <c r="CW21" s="592">
        <v>0</v>
      </c>
      <c r="CX21" s="592">
        <v>0</v>
      </c>
      <c r="CY21" s="592">
        <v>0</v>
      </c>
      <c r="CZ21" s="592">
        <v>0</v>
      </c>
      <c r="DA21" s="592">
        <v>0</v>
      </c>
      <c r="DB21" s="592">
        <v>0</v>
      </c>
      <c r="DC21" s="28"/>
      <c r="DD21" s="8">
        <v>0.18</v>
      </c>
      <c r="DE21" s="8">
        <v>0.156</v>
      </c>
      <c r="DF21" s="8">
        <v>0.48</v>
      </c>
      <c r="DG21" s="8">
        <v>0</v>
      </c>
      <c r="DH21" s="8">
        <v>10.000999999999999</v>
      </c>
      <c r="DI21" s="8">
        <v>0.33999999999999997</v>
      </c>
      <c r="DJ21" s="8">
        <v>4.0990000000000002</v>
      </c>
      <c r="DK21" s="8">
        <v>0</v>
      </c>
      <c r="DL21" s="8">
        <v>41.86</v>
      </c>
      <c r="DM21" s="8">
        <v>0</v>
      </c>
      <c r="DN21" s="1">
        <v>0</v>
      </c>
      <c r="DO21" s="1">
        <v>0</v>
      </c>
      <c r="DP21" s="1">
        <v>4.367</v>
      </c>
      <c r="DQ21" s="394">
        <v>6.6899999999999995</v>
      </c>
      <c r="DR21" s="28"/>
      <c r="DS21" s="8">
        <v>3.65</v>
      </c>
      <c r="DT21" s="8">
        <v>0</v>
      </c>
      <c r="DU21" s="8">
        <v>3.3000000000000002E-2</v>
      </c>
      <c r="DV21" s="8">
        <v>0.8</v>
      </c>
      <c r="DW21" s="8">
        <v>0.17</v>
      </c>
      <c r="DX21" s="8">
        <v>0.4</v>
      </c>
      <c r="DY21" s="8">
        <v>0.3448</v>
      </c>
      <c r="DZ21" s="8">
        <v>0.75</v>
      </c>
      <c r="EA21" s="8">
        <v>0.41399999999999998</v>
      </c>
      <c r="EB21" s="8">
        <v>0</v>
      </c>
      <c r="EC21" s="281">
        <v>0</v>
      </c>
      <c r="ED21" s="395">
        <v>0</v>
      </c>
      <c r="EE21" s="393">
        <v>0</v>
      </c>
      <c r="EF21" s="393">
        <v>0</v>
      </c>
      <c r="EH21" s="65"/>
      <c r="EI21" s="249"/>
    </row>
    <row r="22" spans="1:139" s="26" customFormat="1">
      <c r="A22" s="27" t="s">
        <v>10</v>
      </c>
      <c r="B22" s="27"/>
      <c r="C22" s="8">
        <f t="shared" si="9"/>
        <v>189.30099999999999</v>
      </c>
      <c r="D22" s="8">
        <f t="shared" si="10"/>
        <v>460.13528000000002</v>
      </c>
      <c r="E22" s="8">
        <f t="shared" si="11"/>
        <v>881.75369999999998</v>
      </c>
      <c r="F22" s="8">
        <f t="shared" si="12"/>
        <v>76.388852</v>
      </c>
      <c r="G22" s="8">
        <f t="shared" si="13"/>
        <v>12.623000000000001</v>
      </c>
      <c r="H22" s="8">
        <f t="shared" si="14"/>
        <v>51.412500000000001</v>
      </c>
      <c r="I22" s="8">
        <f t="shared" si="15"/>
        <v>23.693000000000001</v>
      </c>
      <c r="J22" s="8">
        <f t="shared" si="16"/>
        <v>23.946099999999998</v>
      </c>
      <c r="K22" s="8">
        <f t="shared" si="17"/>
        <v>0.72</v>
      </c>
      <c r="L22" s="8">
        <f t="shared" si="24"/>
        <v>2E-3</v>
      </c>
      <c r="M22" s="8">
        <f t="shared" si="18"/>
        <v>103.98050000000001</v>
      </c>
      <c r="N22" s="8">
        <f t="shared" si="25"/>
        <v>0</v>
      </c>
      <c r="O22" s="8">
        <f t="shared" si="26"/>
        <v>0</v>
      </c>
      <c r="P22" s="8">
        <f t="shared" si="27"/>
        <v>3.1E-2</v>
      </c>
      <c r="Q22" s="27"/>
      <c r="R22" s="78">
        <f t="shared" si="32"/>
        <v>0</v>
      </c>
      <c r="S22" s="78">
        <f t="shared" si="32"/>
        <v>0</v>
      </c>
      <c r="T22" s="78">
        <f t="shared" si="32"/>
        <v>0</v>
      </c>
      <c r="U22" s="78">
        <f t="shared" si="32"/>
        <v>0</v>
      </c>
      <c r="V22" s="78">
        <f t="shared" si="32"/>
        <v>0</v>
      </c>
      <c r="W22" s="78">
        <f t="shared" si="32"/>
        <v>0</v>
      </c>
      <c r="X22" s="78">
        <f t="shared" si="32"/>
        <v>0</v>
      </c>
      <c r="Y22" s="78">
        <f t="shared" si="31"/>
        <v>0</v>
      </c>
      <c r="Z22" s="592">
        <v>0</v>
      </c>
      <c r="AA22" s="592">
        <v>0</v>
      </c>
      <c r="AB22" s="592">
        <v>0</v>
      </c>
      <c r="AC22" s="592">
        <v>0</v>
      </c>
      <c r="AD22" s="592">
        <v>0</v>
      </c>
      <c r="AE22" s="592">
        <v>0</v>
      </c>
      <c r="AF22" s="27"/>
      <c r="AG22" s="73">
        <f>('Basel data'!F296+'Basel data'!F250)/2</f>
        <v>0</v>
      </c>
      <c r="AH22" s="73">
        <f>('Basel data'!F250+'Basel data'!F204)/2</f>
        <v>0</v>
      </c>
      <c r="AI22" s="73">
        <f>('Basel data'!F204+'Basel data'!F158)/2</f>
        <v>3.5350000000000006E-2</v>
      </c>
      <c r="AJ22" s="73">
        <f>('Basel data'!F158+0)/2</f>
        <v>3.5350000000000006E-2</v>
      </c>
      <c r="AK22" s="8">
        <v>0</v>
      </c>
      <c r="AL22" s="315">
        <v>0</v>
      </c>
      <c r="AM22" s="8">
        <v>0</v>
      </c>
      <c r="AN22" s="315">
        <v>0</v>
      </c>
      <c r="AO22" s="282">
        <v>0</v>
      </c>
      <c r="AP22" s="8">
        <v>0</v>
      </c>
      <c r="AQ22" s="1">
        <v>0</v>
      </c>
      <c r="AR22" s="282">
        <v>0</v>
      </c>
      <c r="AS22" s="282">
        <v>0</v>
      </c>
      <c r="AT22" s="282">
        <v>0</v>
      </c>
      <c r="AU22" s="27"/>
      <c r="AV22" s="78">
        <f t="shared" si="33"/>
        <v>0</v>
      </c>
      <c r="AW22" s="78">
        <f t="shared" si="33"/>
        <v>0</v>
      </c>
      <c r="AX22" s="78">
        <f t="shared" si="33"/>
        <v>0</v>
      </c>
      <c r="AY22" s="78">
        <f t="shared" si="33"/>
        <v>0</v>
      </c>
      <c r="AZ22" s="78">
        <f t="shared" si="33"/>
        <v>0</v>
      </c>
      <c r="BA22" s="78">
        <f t="shared" si="33"/>
        <v>0</v>
      </c>
      <c r="BB22" s="78">
        <f t="shared" si="33"/>
        <v>0</v>
      </c>
      <c r="BC22" s="78">
        <f t="shared" si="28"/>
        <v>0</v>
      </c>
      <c r="BD22" s="592">
        <v>0</v>
      </c>
      <c r="BE22" s="592">
        <v>0</v>
      </c>
      <c r="BF22" s="592">
        <v>0</v>
      </c>
      <c r="BG22" s="592">
        <v>0</v>
      </c>
      <c r="BH22" s="592">
        <v>0</v>
      </c>
      <c r="BI22" s="592">
        <v>0.03</v>
      </c>
      <c r="BJ22" s="27"/>
      <c r="BK22" s="8">
        <v>0</v>
      </c>
      <c r="BL22" s="8">
        <v>0</v>
      </c>
      <c r="BM22" s="8">
        <v>0</v>
      </c>
      <c r="BN22" s="8">
        <v>0</v>
      </c>
      <c r="BO22" s="8">
        <v>0</v>
      </c>
      <c r="BP22" s="8">
        <v>0</v>
      </c>
      <c r="BQ22" s="8">
        <v>0</v>
      </c>
      <c r="BR22" s="8">
        <v>0</v>
      </c>
      <c r="BS22" s="407">
        <v>0</v>
      </c>
      <c r="BT22" s="407">
        <v>0</v>
      </c>
      <c r="BU22" s="408">
        <f t="shared" si="29"/>
        <v>0</v>
      </c>
      <c r="BV22" s="601">
        <v>0</v>
      </c>
      <c r="BW22" s="602">
        <v>0</v>
      </c>
      <c r="BX22" s="722">
        <v>0</v>
      </c>
      <c r="BY22" s="27"/>
      <c r="BZ22" s="315">
        <v>0</v>
      </c>
      <c r="CA22" s="315">
        <v>0</v>
      </c>
      <c r="CB22" s="315">
        <v>0</v>
      </c>
      <c r="CC22" s="315">
        <v>0</v>
      </c>
      <c r="CD22" s="315">
        <v>0</v>
      </c>
      <c r="CE22" s="315">
        <v>0</v>
      </c>
      <c r="CF22" s="315">
        <v>0</v>
      </c>
      <c r="CG22" s="315">
        <v>0</v>
      </c>
      <c r="CH22" s="8">
        <v>0</v>
      </c>
      <c r="CI22" s="8">
        <v>0</v>
      </c>
      <c r="CJ22" s="1">
        <v>8.0500000000000002E-2</v>
      </c>
      <c r="CK22" s="1">
        <v>0</v>
      </c>
      <c r="CL22" s="1">
        <v>0</v>
      </c>
      <c r="CM22" s="1">
        <v>1E-3</v>
      </c>
      <c r="CN22" s="27"/>
      <c r="CO22" s="78">
        <f t="shared" si="34"/>
        <v>0</v>
      </c>
      <c r="CP22" s="78">
        <f t="shared" si="34"/>
        <v>0</v>
      </c>
      <c r="CQ22" s="78">
        <f t="shared" si="34"/>
        <v>0</v>
      </c>
      <c r="CR22" s="78">
        <f t="shared" si="34"/>
        <v>0</v>
      </c>
      <c r="CS22" s="78">
        <f t="shared" si="34"/>
        <v>0</v>
      </c>
      <c r="CT22" s="78">
        <f t="shared" si="34"/>
        <v>0</v>
      </c>
      <c r="CU22" s="78">
        <f t="shared" si="34"/>
        <v>0</v>
      </c>
      <c r="CV22" s="78">
        <f t="shared" si="30"/>
        <v>0</v>
      </c>
      <c r="CW22" s="592">
        <v>0</v>
      </c>
      <c r="CX22" s="592">
        <v>0</v>
      </c>
      <c r="CY22" s="592">
        <v>0</v>
      </c>
      <c r="CZ22" s="592">
        <v>0</v>
      </c>
      <c r="DA22" s="592">
        <v>0</v>
      </c>
      <c r="DB22" s="592">
        <v>0</v>
      </c>
      <c r="DC22" s="27"/>
      <c r="DD22" s="8">
        <v>0</v>
      </c>
      <c r="DE22" s="8">
        <v>0</v>
      </c>
      <c r="DF22" s="8">
        <v>0.2</v>
      </c>
      <c r="DG22" s="8">
        <v>2.5510000000000002</v>
      </c>
      <c r="DH22" s="8">
        <v>0</v>
      </c>
      <c r="DI22" s="8">
        <v>7.75</v>
      </c>
      <c r="DJ22" s="8">
        <v>9</v>
      </c>
      <c r="DK22" s="8">
        <v>0</v>
      </c>
      <c r="DL22" s="8">
        <v>0</v>
      </c>
      <c r="DM22" s="8">
        <v>2E-3</v>
      </c>
      <c r="DN22" s="1">
        <v>103.9</v>
      </c>
      <c r="DO22" s="1">
        <v>0</v>
      </c>
      <c r="DP22" s="1">
        <v>0</v>
      </c>
      <c r="DQ22" s="394">
        <v>0</v>
      </c>
      <c r="DR22" s="27"/>
      <c r="DS22" s="8">
        <v>189.30099999999999</v>
      </c>
      <c r="DT22" s="8">
        <v>460.13528000000002</v>
      </c>
      <c r="DU22" s="8">
        <v>881.51834999999994</v>
      </c>
      <c r="DV22" s="8">
        <v>73.802502000000004</v>
      </c>
      <c r="DW22" s="8">
        <v>12.623000000000001</v>
      </c>
      <c r="DX22" s="8">
        <v>43.662500000000001</v>
      </c>
      <c r="DY22" s="8">
        <v>14.693000000000001</v>
      </c>
      <c r="DZ22" s="8">
        <v>23.946099999999998</v>
      </c>
      <c r="EA22" s="8">
        <v>0.72</v>
      </c>
      <c r="EB22" s="8">
        <v>0</v>
      </c>
      <c r="EC22" s="281">
        <v>0</v>
      </c>
      <c r="ED22" s="395">
        <v>0</v>
      </c>
      <c r="EE22" s="393">
        <v>0</v>
      </c>
      <c r="EF22" s="393">
        <v>0</v>
      </c>
      <c r="EH22" s="65"/>
      <c r="EI22" s="249"/>
    </row>
    <row r="23" spans="1:139" s="26" customFormat="1">
      <c r="A23" s="27" t="s">
        <v>68</v>
      </c>
      <c r="B23" s="27"/>
      <c r="C23" s="8">
        <f t="shared" si="9"/>
        <v>0</v>
      </c>
      <c r="D23" s="8">
        <f t="shared" si="10"/>
        <v>3.2130000000000001</v>
      </c>
      <c r="E23" s="8">
        <f t="shared" si="11"/>
        <v>5.3</v>
      </c>
      <c r="F23" s="8">
        <f t="shared" si="12"/>
        <v>13.03</v>
      </c>
      <c r="G23" s="8">
        <f t="shared" si="13"/>
        <v>3</v>
      </c>
      <c r="H23" s="8">
        <f t="shared" si="14"/>
        <v>4.101</v>
      </c>
      <c r="I23" s="8">
        <f t="shared" si="15"/>
        <v>6</v>
      </c>
      <c r="J23" s="8">
        <f t="shared" si="16"/>
        <v>3</v>
      </c>
      <c r="K23" s="8">
        <f t="shared" si="17"/>
        <v>0</v>
      </c>
      <c r="L23" s="8">
        <f t="shared" si="24"/>
        <v>0.9</v>
      </c>
      <c r="M23" s="8">
        <f t="shared" si="18"/>
        <v>0</v>
      </c>
      <c r="N23" s="8">
        <f t="shared" si="25"/>
        <v>0</v>
      </c>
      <c r="O23" s="8">
        <f t="shared" si="26"/>
        <v>0</v>
      </c>
      <c r="P23" s="8">
        <f t="shared" si="27"/>
        <v>0.55046099999999998</v>
      </c>
      <c r="Q23" s="27"/>
      <c r="R23" s="78">
        <f t="shared" si="32"/>
        <v>0</v>
      </c>
      <c r="S23" s="78">
        <f t="shared" si="32"/>
        <v>0</v>
      </c>
      <c r="T23" s="78">
        <f t="shared" si="32"/>
        <v>0</v>
      </c>
      <c r="U23" s="78">
        <f t="shared" si="32"/>
        <v>0</v>
      </c>
      <c r="V23" s="78">
        <f t="shared" si="32"/>
        <v>0</v>
      </c>
      <c r="W23" s="78">
        <f t="shared" si="32"/>
        <v>0</v>
      </c>
      <c r="X23" s="78">
        <f t="shared" si="32"/>
        <v>0</v>
      </c>
      <c r="Y23" s="78">
        <f t="shared" si="31"/>
        <v>0</v>
      </c>
      <c r="Z23" s="592">
        <v>0</v>
      </c>
      <c r="AA23" s="592">
        <v>0</v>
      </c>
      <c r="AB23" s="592">
        <v>0</v>
      </c>
      <c r="AC23" s="592">
        <v>0</v>
      </c>
      <c r="AD23" s="592">
        <v>0</v>
      </c>
      <c r="AE23" s="592">
        <v>0</v>
      </c>
      <c r="AF23" s="27"/>
      <c r="AG23" s="73">
        <f>('Basel data'!F299+'Basel data'!F253)/2</f>
        <v>0</v>
      </c>
      <c r="AH23" s="73">
        <f>('Basel data'!F253+'Basel data'!F207)/2</f>
        <v>0</v>
      </c>
      <c r="AI23" s="73">
        <f>('Basel data'!F207+'Basel data'!F161)/2</f>
        <v>0</v>
      </c>
      <c r="AJ23" s="73">
        <f>('Basel data'!F161+0)/2</f>
        <v>0</v>
      </c>
      <c r="AK23" s="8">
        <v>0</v>
      </c>
      <c r="AL23" s="315">
        <v>0</v>
      </c>
      <c r="AM23" s="8">
        <v>0</v>
      </c>
      <c r="AN23" s="315">
        <v>0</v>
      </c>
      <c r="AO23" s="282">
        <v>0</v>
      </c>
      <c r="AP23" s="8">
        <v>0</v>
      </c>
      <c r="AQ23" s="1">
        <v>0</v>
      </c>
      <c r="AR23" s="282">
        <v>0</v>
      </c>
      <c r="AS23" s="282">
        <v>0</v>
      </c>
      <c r="AT23" s="282">
        <v>0</v>
      </c>
      <c r="AU23" s="27"/>
      <c r="AV23" s="78">
        <f t="shared" si="33"/>
        <v>0</v>
      </c>
      <c r="AW23" s="78">
        <f t="shared" si="33"/>
        <v>0</v>
      </c>
      <c r="AX23" s="78">
        <f t="shared" si="33"/>
        <v>0</v>
      </c>
      <c r="AY23" s="78">
        <f t="shared" si="33"/>
        <v>0</v>
      </c>
      <c r="AZ23" s="78">
        <f t="shared" si="33"/>
        <v>0</v>
      </c>
      <c r="BA23" s="78">
        <f t="shared" si="33"/>
        <v>0</v>
      </c>
      <c r="BB23" s="78">
        <f t="shared" si="33"/>
        <v>0</v>
      </c>
      <c r="BC23" s="78">
        <f t="shared" si="28"/>
        <v>0</v>
      </c>
      <c r="BD23" s="592">
        <v>0</v>
      </c>
      <c r="BE23" s="592">
        <v>0</v>
      </c>
      <c r="BF23" s="592">
        <v>0</v>
      </c>
      <c r="BG23" s="592">
        <v>0</v>
      </c>
      <c r="BH23" s="592">
        <v>0</v>
      </c>
      <c r="BI23" s="721">
        <v>0</v>
      </c>
      <c r="BJ23" s="27"/>
      <c r="BK23" s="8">
        <v>0</v>
      </c>
      <c r="BL23" s="8">
        <v>0</v>
      </c>
      <c r="BM23" s="8">
        <v>0</v>
      </c>
      <c r="BN23" s="8">
        <v>0</v>
      </c>
      <c r="BO23" s="8">
        <v>0</v>
      </c>
      <c r="BP23" s="8">
        <v>0</v>
      </c>
      <c r="BQ23" s="8">
        <v>0</v>
      </c>
      <c r="BR23" s="8">
        <v>0</v>
      </c>
      <c r="BS23" s="407">
        <v>0</v>
      </c>
      <c r="BT23" s="407">
        <v>0</v>
      </c>
      <c r="BU23" s="408">
        <f t="shared" si="29"/>
        <v>0</v>
      </c>
      <c r="BV23" s="601">
        <v>0</v>
      </c>
      <c r="BW23" s="602">
        <v>0</v>
      </c>
      <c r="BX23" s="722">
        <v>0</v>
      </c>
      <c r="BY23" s="27"/>
      <c r="BZ23" s="315">
        <v>0</v>
      </c>
      <c r="CA23" s="315">
        <v>0</v>
      </c>
      <c r="CB23" s="315">
        <v>0</v>
      </c>
      <c r="CC23" s="315">
        <v>0.01</v>
      </c>
      <c r="CD23" s="315">
        <v>0</v>
      </c>
      <c r="CE23" s="315">
        <v>0.8</v>
      </c>
      <c r="CF23" s="315">
        <v>0</v>
      </c>
      <c r="CG23" s="315">
        <v>0</v>
      </c>
      <c r="CH23" s="8">
        <v>0</v>
      </c>
      <c r="CI23" s="8">
        <v>0.8</v>
      </c>
      <c r="CJ23" s="1">
        <v>0</v>
      </c>
      <c r="CK23" s="1">
        <v>0</v>
      </c>
      <c r="CL23" s="1">
        <v>0</v>
      </c>
      <c r="CM23" s="1">
        <v>0.55046099999999998</v>
      </c>
      <c r="CN23" s="27"/>
      <c r="CO23" s="78">
        <f t="shared" si="34"/>
        <v>0</v>
      </c>
      <c r="CP23" s="78">
        <f t="shared" si="34"/>
        <v>0</v>
      </c>
      <c r="CQ23" s="78">
        <f t="shared" si="34"/>
        <v>0</v>
      </c>
      <c r="CR23" s="78">
        <f t="shared" si="34"/>
        <v>0</v>
      </c>
      <c r="CS23" s="78">
        <f t="shared" si="34"/>
        <v>0</v>
      </c>
      <c r="CT23" s="78">
        <f t="shared" si="34"/>
        <v>0</v>
      </c>
      <c r="CU23" s="78">
        <f t="shared" si="34"/>
        <v>0</v>
      </c>
      <c r="CV23" s="78">
        <f t="shared" si="30"/>
        <v>0</v>
      </c>
      <c r="CW23" s="592">
        <v>0</v>
      </c>
      <c r="CX23" s="592">
        <v>0</v>
      </c>
      <c r="CY23" s="592">
        <v>0</v>
      </c>
      <c r="CZ23" s="592">
        <v>0</v>
      </c>
      <c r="DA23" s="592">
        <v>0</v>
      </c>
      <c r="DB23" s="592">
        <v>0</v>
      </c>
      <c r="DC23" s="27"/>
      <c r="DD23" s="8">
        <v>0</v>
      </c>
      <c r="DE23" s="8">
        <v>3.2130000000000001</v>
      </c>
      <c r="DF23" s="8">
        <v>5.3</v>
      </c>
      <c r="DG23" s="8">
        <v>13.02</v>
      </c>
      <c r="DH23" s="8">
        <v>3</v>
      </c>
      <c r="DI23" s="8">
        <v>2.5009999999999999</v>
      </c>
      <c r="DJ23" s="8">
        <v>5</v>
      </c>
      <c r="DK23" s="8">
        <v>3</v>
      </c>
      <c r="DL23" s="8">
        <v>0</v>
      </c>
      <c r="DM23" s="8">
        <v>9.9999999999999992E-2</v>
      </c>
      <c r="DN23" s="1">
        <v>0</v>
      </c>
      <c r="DO23" s="1">
        <v>0</v>
      </c>
      <c r="DP23" s="1">
        <v>0</v>
      </c>
      <c r="DQ23" s="394">
        <v>0</v>
      </c>
      <c r="DR23" s="27"/>
      <c r="DS23" s="8">
        <v>0</v>
      </c>
      <c r="DT23" s="8">
        <v>0</v>
      </c>
      <c r="DU23" s="8">
        <v>0</v>
      </c>
      <c r="DV23" s="8">
        <v>0</v>
      </c>
      <c r="DW23" s="8">
        <v>0</v>
      </c>
      <c r="DX23" s="8">
        <v>0.8</v>
      </c>
      <c r="DY23" s="8">
        <v>1</v>
      </c>
      <c r="DZ23" s="8">
        <v>0</v>
      </c>
      <c r="EA23" s="8">
        <v>0</v>
      </c>
      <c r="EB23" s="8">
        <v>0</v>
      </c>
      <c r="EC23" s="281">
        <v>0</v>
      </c>
      <c r="ED23" s="395">
        <v>0</v>
      </c>
      <c r="EE23" s="393">
        <v>0</v>
      </c>
      <c r="EF23" s="393">
        <v>0</v>
      </c>
      <c r="EH23" s="65"/>
      <c r="EI23" s="249"/>
    </row>
    <row r="24" spans="1:139" s="26" customFormat="1">
      <c r="A24" s="27" t="s">
        <v>11</v>
      </c>
      <c r="B24" s="27"/>
      <c r="C24" s="8">
        <f t="shared" si="9"/>
        <v>2798.2989054545455</v>
      </c>
      <c r="D24" s="8">
        <f t="shared" si="10"/>
        <v>1610.74245</v>
      </c>
      <c r="E24" s="8">
        <f t="shared" si="11"/>
        <v>610.75909999999999</v>
      </c>
      <c r="F24" s="8">
        <f t="shared" si="12"/>
        <v>572.61275000000001</v>
      </c>
      <c r="G24" s="8">
        <f t="shared" si="13"/>
        <v>417.87259999999998</v>
      </c>
      <c r="H24" s="8">
        <f t="shared" si="14"/>
        <v>734.19380000000001</v>
      </c>
      <c r="I24" s="8">
        <f t="shared" si="15"/>
        <v>1123.9168399999999</v>
      </c>
      <c r="J24" s="8">
        <f t="shared" si="16"/>
        <v>1012.95888</v>
      </c>
      <c r="K24" s="8">
        <f t="shared" si="17"/>
        <v>765.9490199999999</v>
      </c>
      <c r="L24" s="8">
        <f t="shared" si="24"/>
        <v>589.077</v>
      </c>
      <c r="M24" s="8">
        <f t="shared" si="18"/>
        <v>662.39711554232031</v>
      </c>
      <c r="N24" s="8">
        <f t="shared" si="25"/>
        <v>654.29333108464073</v>
      </c>
      <c r="O24" s="8">
        <f t="shared" si="26"/>
        <v>756.32115068764961</v>
      </c>
      <c r="P24" s="8">
        <f t="shared" si="27"/>
        <v>755.4927723724785</v>
      </c>
      <c r="Q24" s="27"/>
      <c r="R24" s="78">
        <f t="shared" si="32"/>
        <v>0</v>
      </c>
      <c r="S24" s="78">
        <f t="shared" si="32"/>
        <v>0</v>
      </c>
      <c r="T24" s="78">
        <f t="shared" si="32"/>
        <v>0</v>
      </c>
      <c r="U24" s="78">
        <f t="shared" si="32"/>
        <v>0</v>
      </c>
      <c r="V24" s="78">
        <f t="shared" si="32"/>
        <v>0</v>
      </c>
      <c r="W24" s="78">
        <f t="shared" si="32"/>
        <v>0</v>
      </c>
      <c r="X24" s="78">
        <f t="shared" si="32"/>
        <v>0</v>
      </c>
      <c r="Y24" s="78">
        <f t="shared" si="31"/>
        <v>0</v>
      </c>
      <c r="Z24" s="592">
        <v>0</v>
      </c>
      <c r="AA24" s="592">
        <v>0</v>
      </c>
      <c r="AB24" s="592">
        <v>0</v>
      </c>
      <c r="AC24" s="592">
        <v>0</v>
      </c>
      <c r="AD24" s="592">
        <v>0</v>
      </c>
      <c r="AE24" s="592">
        <v>0</v>
      </c>
      <c r="AF24" s="27"/>
      <c r="AG24" s="73">
        <f>('Basel data'!F291+'Basel data'!F245)/2</f>
        <v>5.1045454545454545</v>
      </c>
      <c r="AH24" s="73">
        <f>('Basel data'!F245+'Basel data'!F199)/2</f>
        <v>2.0654499999999998</v>
      </c>
      <c r="AI24" s="73">
        <f>('Basel data'!F199+'Basel data'!F153)/2</f>
        <v>2.1311</v>
      </c>
      <c r="AJ24" s="73">
        <f>('Basel data'!F153+'Basel data'!F107)/2</f>
        <v>14.06565</v>
      </c>
      <c r="AK24" s="8">
        <v>27.675000000000001</v>
      </c>
      <c r="AL24" s="315">
        <v>6.8335999999999997</v>
      </c>
      <c r="AM24" s="8">
        <v>16.532799999999998</v>
      </c>
      <c r="AN24" s="315">
        <v>9.936440000000001</v>
      </c>
      <c r="AO24" s="282">
        <v>4.6000000000000001E-4</v>
      </c>
      <c r="AP24" s="8">
        <v>8.7134</v>
      </c>
      <c r="AQ24" s="1">
        <v>29.879200000000004</v>
      </c>
      <c r="AR24" s="282">
        <v>27.894000000000002</v>
      </c>
      <c r="AS24" s="282">
        <v>16.48152</v>
      </c>
      <c r="AT24" s="282">
        <v>30.623999999999999</v>
      </c>
      <c r="AU24" s="27"/>
      <c r="AV24" s="78">
        <f t="shared" si="33"/>
        <v>0</v>
      </c>
      <c r="AW24" s="78">
        <f t="shared" si="33"/>
        <v>0</v>
      </c>
      <c r="AX24" s="78">
        <f t="shared" si="33"/>
        <v>0</v>
      </c>
      <c r="AY24" s="78">
        <f t="shared" si="33"/>
        <v>0</v>
      </c>
      <c r="AZ24" s="78">
        <f t="shared" si="33"/>
        <v>0</v>
      </c>
      <c r="BA24" s="78">
        <f t="shared" si="33"/>
        <v>0</v>
      </c>
      <c r="BB24" s="78">
        <f t="shared" si="33"/>
        <v>0</v>
      </c>
      <c r="BC24" s="78">
        <f t="shared" si="28"/>
        <v>0</v>
      </c>
      <c r="BD24" s="592">
        <v>0</v>
      </c>
      <c r="BE24" s="592">
        <v>0</v>
      </c>
      <c r="BF24" s="592">
        <v>0</v>
      </c>
      <c r="BG24" s="592">
        <v>0</v>
      </c>
      <c r="BH24" s="592">
        <v>0</v>
      </c>
      <c r="BI24" s="592">
        <v>1</v>
      </c>
      <c r="BJ24" s="27"/>
      <c r="BK24" s="8">
        <v>2287.7339999999999</v>
      </c>
      <c r="BL24" s="8">
        <v>896.86599999999999</v>
      </c>
      <c r="BM24" s="8">
        <v>262.41300000000001</v>
      </c>
      <c r="BN24" s="8">
        <v>357.00900000000001</v>
      </c>
      <c r="BO24" s="8">
        <v>177.09899999999999</v>
      </c>
      <c r="BP24" s="8">
        <v>274.12700000000001</v>
      </c>
      <c r="BQ24" s="8">
        <v>592.10500000000002</v>
      </c>
      <c r="BR24" s="8">
        <v>752.90180000000009</v>
      </c>
      <c r="BS24" s="407">
        <v>634.42255999999998</v>
      </c>
      <c r="BT24" s="407">
        <v>505.452</v>
      </c>
      <c r="BU24" s="408">
        <f t="shared" si="29"/>
        <v>514.05931554232029</v>
      </c>
      <c r="BV24" s="601">
        <v>522.6666310846407</v>
      </c>
      <c r="BW24" s="602">
        <v>550.04533068764954</v>
      </c>
      <c r="BX24" s="722">
        <v>558.57520537247854</v>
      </c>
      <c r="BY24" s="27"/>
      <c r="BZ24" s="315">
        <v>337</v>
      </c>
      <c r="CA24" s="315">
        <v>363.03000000000003</v>
      </c>
      <c r="CB24" s="315">
        <v>91.9</v>
      </c>
      <c r="CC24" s="315">
        <v>129.33000000000001</v>
      </c>
      <c r="CD24" s="315">
        <v>108.75</v>
      </c>
      <c r="CE24" s="315">
        <v>115.2</v>
      </c>
      <c r="CF24" s="315">
        <v>58.32</v>
      </c>
      <c r="CG24" s="315">
        <v>39.619999999999997</v>
      </c>
      <c r="CH24" s="8">
        <v>16.111000000000001</v>
      </c>
      <c r="CI24" s="8">
        <v>6.2615999999999996</v>
      </c>
      <c r="CJ24" s="1">
        <v>20.778600000000004</v>
      </c>
      <c r="CK24" s="1">
        <v>4.2300000000000004E-2</v>
      </c>
      <c r="CL24" s="1">
        <v>17.142400000000002</v>
      </c>
      <c r="CM24" s="1">
        <v>69.931567000000001</v>
      </c>
      <c r="CN24" s="27"/>
      <c r="CO24" s="78">
        <f t="shared" si="34"/>
        <v>0</v>
      </c>
      <c r="CP24" s="78">
        <f t="shared" si="34"/>
        <v>0</v>
      </c>
      <c r="CQ24" s="78">
        <f t="shared" si="34"/>
        <v>0</v>
      </c>
      <c r="CR24" s="78">
        <f t="shared" si="34"/>
        <v>0</v>
      </c>
      <c r="CS24" s="78">
        <f t="shared" si="34"/>
        <v>0</v>
      </c>
      <c r="CT24" s="78">
        <f t="shared" si="34"/>
        <v>0</v>
      </c>
      <c r="CU24" s="78">
        <f t="shared" si="34"/>
        <v>0</v>
      </c>
      <c r="CV24" s="78">
        <f t="shared" si="30"/>
        <v>0</v>
      </c>
      <c r="CW24" s="592">
        <v>0</v>
      </c>
      <c r="CX24" s="592">
        <v>0</v>
      </c>
      <c r="CY24" s="592">
        <v>0</v>
      </c>
      <c r="CZ24" s="592">
        <v>0</v>
      </c>
      <c r="DA24" s="592">
        <v>0</v>
      </c>
      <c r="DB24" s="592">
        <v>0</v>
      </c>
      <c r="DC24" s="27"/>
      <c r="DD24" s="8">
        <v>159.333</v>
      </c>
      <c r="DE24" s="8">
        <v>348.77900000000005</v>
      </c>
      <c r="DF24" s="8">
        <v>134.315</v>
      </c>
      <c r="DG24" s="8">
        <v>57.160000000000004</v>
      </c>
      <c r="DH24" s="8">
        <v>99.870999999999995</v>
      </c>
      <c r="DI24" s="8">
        <v>174.87900000000002</v>
      </c>
      <c r="DJ24" s="8">
        <v>257.58300000000003</v>
      </c>
      <c r="DK24" s="8">
        <v>204.51999999999998</v>
      </c>
      <c r="DL24" s="8">
        <v>102.49999999999999</v>
      </c>
      <c r="DM24" s="8">
        <v>54.05</v>
      </c>
      <c r="DN24" s="1">
        <v>69.34</v>
      </c>
      <c r="DO24" s="1">
        <v>100.36399999999999</v>
      </c>
      <c r="DP24" s="1">
        <v>172.65190000000004</v>
      </c>
      <c r="DQ24" s="394">
        <v>90.961999999999989</v>
      </c>
      <c r="DR24" s="27"/>
      <c r="DS24" s="8">
        <v>9.1273599999999995</v>
      </c>
      <c r="DT24" s="8">
        <v>2E-3</v>
      </c>
      <c r="DU24" s="8">
        <v>120</v>
      </c>
      <c r="DV24" s="8">
        <v>15.0481</v>
      </c>
      <c r="DW24" s="8">
        <v>4.4775999999999998</v>
      </c>
      <c r="DX24" s="8">
        <v>163.1542</v>
      </c>
      <c r="DY24" s="8">
        <v>199.37603999999999</v>
      </c>
      <c r="DZ24" s="8">
        <v>5.9806399999999993</v>
      </c>
      <c r="EA24" s="8">
        <v>12.915000000000001</v>
      </c>
      <c r="EB24" s="8">
        <v>14.6</v>
      </c>
      <c r="EC24" s="281">
        <v>28.34</v>
      </c>
      <c r="ED24" s="395">
        <v>3.3263999999999996</v>
      </c>
      <c r="EE24" s="393">
        <v>0</v>
      </c>
      <c r="EF24" s="393">
        <v>4.4000000000000004</v>
      </c>
      <c r="EH24" s="65"/>
      <c r="EI24" s="249"/>
    </row>
    <row r="25" spans="1:139" s="26" customFormat="1">
      <c r="A25" s="27" t="s">
        <v>12</v>
      </c>
      <c r="B25" s="27"/>
      <c r="C25" s="8">
        <f t="shared" si="9"/>
        <v>417.36587953476516</v>
      </c>
      <c r="D25" s="8">
        <f t="shared" si="10"/>
        <v>186.86629860380211</v>
      </c>
      <c r="E25" s="8">
        <f t="shared" si="11"/>
        <v>24.586159197802921</v>
      </c>
      <c r="F25" s="8">
        <f t="shared" si="12"/>
        <v>43.587751977535852</v>
      </c>
      <c r="G25" s="8">
        <f t="shared" si="13"/>
        <v>6.87821867599658</v>
      </c>
      <c r="H25" s="8">
        <f t="shared" si="14"/>
        <v>19.498968733554793</v>
      </c>
      <c r="I25" s="8">
        <f t="shared" si="15"/>
        <v>51.267619215399293</v>
      </c>
      <c r="J25" s="8">
        <f t="shared" si="16"/>
        <v>44.879146049861859</v>
      </c>
      <c r="K25" s="8">
        <f t="shared" si="17"/>
        <v>3.8890000000000002</v>
      </c>
      <c r="L25" s="8">
        <f t="shared" si="24"/>
        <v>5.6</v>
      </c>
      <c r="M25" s="8">
        <f t="shared" si="18"/>
        <v>22.200499999999998</v>
      </c>
      <c r="N25" s="8">
        <f t="shared" si="25"/>
        <v>1.127E-3</v>
      </c>
      <c r="O25" s="8">
        <f t="shared" si="26"/>
        <v>37.04</v>
      </c>
      <c r="P25" s="8">
        <f t="shared" si="27"/>
        <v>1.201355</v>
      </c>
      <c r="Q25" s="27"/>
      <c r="R25" s="78">
        <f t="shared" si="32"/>
        <v>0</v>
      </c>
      <c r="S25" s="78">
        <f t="shared" si="32"/>
        <v>0</v>
      </c>
      <c r="T25" s="78">
        <f t="shared" si="32"/>
        <v>0</v>
      </c>
      <c r="U25" s="78">
        <f t="shared" si="32"/>
        <v>0</v>
      </c>
      <c r="V25" s="78">
        <f t="shared" si="32"/>
        <v>0</v>
      </c>
      <c r="W25" s="78">
        <f t="shared" si="32"/>
        <v>0</v>
      </c>
      <c r="X25" s="78">
        <f t="shared" si="32"/>
        <v>0</v>
      </c>
      <c r="Y25" s="78">
        <f t="shared" si="31"/>
        <v>0</v>
      </c>
      <c r="Z25" s="592">
        <v>0</v>
      </c>
      <c r="AA25" s="592">
        <v>0</v>
      </c>
      <c r="AB25" s="592">
        <v>0</v>
      </c>
      <c r="AC25" s="592">
        <v>0</v>
      </c>
      <c r="AD25" s="592">
        <v>0</v>
      </c>
      <c r="AE25" s="592">
        <v>0</v>
      </c>
      <c r="AF25" s="27"/>
      <c r="AG25" s="78">
        <f>AH25/AH8*AG8</f>
        <v>0</v>
      </c>
      <c r="AH25" s="78">
        <f>AI25/AI8*AH8</f>
        <v>0</v>
      </c>
      <c r="AI25" s="78">
        <f>AJ25/AJ8*AI8</f>
        <v>0</v>
      </c>
      <c r="AJ25" s="78">
        <f>AK25/AK8*AJ8</f>
        <v>0</v>
      </c>
      <c r="AK25" s="8">
        <v>0</v>
      </c>
      <c r="AL25" s="315">
        <v>0</v>
      </c>
      <c r="AM25" s="8">
        <v>0</v>
      </c>
      <c r="AN25" s="315">
        <v>0</v>
      </c>
      <c r="AO25" s="282">
        <v>0</v>
      </c>
      <c r="AP25" s="8">
        <v>0</v>
      </c>
      <c r="AQ25" s="1">
        <v>19.84</v>
      </c>
      <c r="AR25" s="282">
        <v>0</v>
      </c>
      <c r="AS25" s="282">
        <v>0</v>
      </c>
      <c r="AT25" s="282">
        <v>0</v>
      </c>
      <c r="AU25" s="27"/>
      <c r="AV25" s="78">
        <f t="shared" si="33"/>
        <v>6.2458795347651614</v>
      </c>
      <c r="AW25" s="78">
        <f t="shared" si="33"/>
        <v>6.4112986038021305</v>
      </c>
      <c r="AX25" s="78">
        <f t="shared" si="33"/>
        <v>6.5861591978029193</v>
      </c>
      <c r="AY25" s="78">
        <f t="shared" si="33"/>
        <v>6.7417519775358494</v>
      </c>
      <c r="AZ25" s="78">
        <f t="shared" si="33"/>
        <v>6.8162186759965797</v>
      </c>
      <c r="BA25" s="78">
        <f t="shared" si="33"/>
        <v>6.8889687335547949</v>
      </c>
      <c r="BB25" s="78">
        <f t="shared" si="33"/>
        <v>7.0866192153992893</v>
      </c>
      <c r="BC25" s="78">
        <f t="shared" si="28"/>
        <v>7.1941460498618603</v>
      </c>
      <c r="BD25" s="592">
        <v>0</v>
      </c>
      <c r="BE25" s="592">
        <v>0</v>
      </c>
      <c r="BF25" s="592">
        <v>0</v>
      </c>
      <c r="BG25" s="592">
        <v>0</v>
      </c>
      <c r="BH25" s="592">
        <v>35.994999999999997</v>
      </c>
      <c r="BI25" s="592">
        <v>0.1</v>
      </c>
      <c r="BJ25" s="27"/>
      <c r="BK25" s="8">
        <v>0</v>
      </c>
      <c r="BL25" s="8">
        <v>0</v>
      </c>
      <c r="BM25" s="8">
        <v>0</v>
      </c>
      <c r="BN25" s="8">
        <v>0</v>
      </c>
      <c r="BO25" s="8">
        <v>0</v>
      </c>
      <c r="BP25" s="8">
        <v>0</v>
      </c>
      <c r="BQ25" s="8">
        <v>0</v>
      </c>
      <c r="BR25" s="8">
        <v>0</v>
      </c>
      <c r="BS25" s="407">
        <v>0</v>
      </c>
      <c r="BT25" s="407">
        <v>0</v>
      </c>
      <c r="BU25" s="408">
        <f t="shared" si="29"/>
        <v>0</v>
      </c>
      <c r="BV25" s="601">
        <v>0</v>
      </c>
      <c r="BW25" s="602">
        <v>0</v>
      </c>
      <c r="BX25" s="722">
        <v>0</v>
      </c>
      <c r="BY25" s="27"/>
      <c r="BZ25" s="315">
        <v>0</v>
      </c>
      <c r="CA25" s="315">
        <v>3.1</v>
      </c>
      <c r="CB25" s="315">
        <v>18</v>
      </c>
      <c r="CC25" s="315">
        <v>0</v>
      </c>
      <c r="CD25" s="315">
        <v>0</v>
      </c>
      <c r="CE25" s="315">
        <v>0</v>
      </c>
      <c r="CF25" s="315">
        <v>0</v>
      </c>
      <c r="CG25" s="315">
        <v>0</v>
      </c>
      <c r="CH25" s="8">
        <v>0</v>
      </c>
      <c r="CI25" s="8">
        <v>0</v>
      </c>
      <c r="CJ25" s="1">
        <v>5.0000000000000001E-4</v>
      </c>
      <c r="CK25" s="1">
        <v>0</v>
      </c>
      <c r="CL25" s="1">
        <v>0</v>
      </c>
      <c r="CM25" s="1">
        <v>0.10135500000000001</v>
      </c>
      <c r="CN25" s="27"/>
      <c r="CO25" s="78">
        <f t="shared" si="34"/>
        <v>0</v>
      </c>
      <c r="CP25" s="78">
        <f t="shared" si="34"/>
        <v>0</v>
      </c>
      <c r="CQ25" s="78">
        <f t="shared" si="34"/>
        <v>0</v>
      </c>
      <c r="CR25" s="78">
        <f t="shared" si="34"/>
        <v>0</v>
      </c>
      <c r="CS25" s="78">
        <f t="shared" si="34"/>
        <v>0</v>
      </c>
      <c r="CT25" s="78">
        <f t="shared" si="34"/>
        <v>0</v>
      </c>
      <c r="CU25" s="78">
        <f t="shared" si="34"/>
        <v>0</v>
      </c>
      <c r="CV25" s="78">
        <f t="shared" si="30"/>
        <v>0</v>
      </c>
      <c r="CW25" s="592">
        <v>0</v>
      </c>
      <c r="CX25" s="592">
        <v>0</v>
      </c>
      <c r="CY25" s="592">
        <v>0</v>
      </c>
      <c r="CZ25" s="592">
        <v>0</v>
      </c>
      <c r="DA25" s="592">
        <v>0</v>
      </c>
      <c r="DB25" s="592">
        <v>0</v>
      </c>
      <c r="DC25" s="27"/>
      <c r="DD25" s="8">
        <v>47</v>
      </c>
      <c r="DE25" s="8">
        <v>4</v>
      </c>
      <c r="DF25" s="8">
        <v>0</v>
      </c>
      <c r="DG25" s="8">
        <v>36.841000000000001</v>
      </c>
      <c r="DH25" s="8">
        <v>6.2E-2</v>
      </c>
      <c r="DI25" s="8">
        <v>10.405999999999999</v>
      </c>
      <c r="DJ25" s="8">
        <v>42.581000000000003</v>
      </c>
      <c r="DK25" s="8">
        <v>35.5</v>
      </c>
      <c r="DL25" s="8">
        <v>2.92</v>
      </c>
      <c r="DM25" s="8">
        <v>4</v>
      </c>
      <c r="DN25" s="1">
        <v>0</v>
      </c>
      <c r="DO25" s="1">
        <v>0</v>
      </c>
      <c r="DP25" s="1">
        <v>1.0449999999999999</v>
      </c>
      <c r="DQ25" s="394">
        <v>0</v>
      </c>
      <c r="DR25" s="27"/>
      <c r="DS25" s="8">
        <v>364.12</v>
      </c>
      <c r="DT25" s="8">
        <v>173.35499999999999</v>
      </c>
      <c r="DU25" s="8">
        <v>0</v>
      </c>
      <c r="DV25" s="8">
        <v>5.0000000000000001E-3</v>
      </c>
      <c r="DW25" s="8">
        <v>0</v>
      </c>
      <c r="DX25" s="8">
        <v>2.2040000000000002</v>
      </c>
      <c r="DY25" s="8">
        <v>1.6</v>
      </c>
      <c r="DZ25" s="8">
        <v>2.1850000000000001</v>
      </c>
      <c r="EA25" s="8">
        <v>0.96900000000000008</v>
      </c>
      <c r="EB25" s="8">
        <v>1.6</v>
      </c>
      <c r="EC25" s="281">
        <v>2.36</v>
      </c>
      <c r="ED25" s="395">
        <v>1.127E-3</v>
      </c>
      <c r="EE25" s="393">
        <v>0</v>
      </c>
      <c r="EF25" s="393">
        <v>1</v>
      </c>
      <c r="EH25" s="65"/>
      <c r="EI25" s="249"/>
    </row>
    <row r="26" spans="1:139" s="26" customFormat="1">
      <c r="A26" s="27" t="s">
        <v>13</v>
      </c>
      <c r="B26" s="27"/>
      <c r="C26" s="8">
        <f t="shared" si="9"/>
        <v>979.40269250034203</v>
      </c>
      <c r="D26" s="8">
        <f t="shared" si="10"/>
        <v>1192.6899123131159</v>
      </c>
      <c r="E26" s="8">
        <f t="shared" si="11"/>
        <v>802.02362007236786</v>
      </c>
      <c r="F26" s="8">
        <f t="shared" si="12"/>
        <v>977.66829062030797</v>
      </c>
      <c r="G26" s="8">
        <f t="shared" si="13"/>
        <v>793.63258484124958</v>
      </c>
      <c r="H26" s="8">
        <f t="shared" si="14"/>
        <v>634.55212374770292</v>
      </c>
      <c r="I26" s="8">
        <f t="shared" si="15"/>
        <v>1680.935087661752</v>
      </c>
      <c r="J26" s="8">
        <f t="shared" si="16"/>
        <v>2004.9149034725831</v>
      </c>
      <c r="K26" s="8">
        <f t="shared" si="17"/>
        <v>311.46360849446904</v>
      </c>
      <c r="L26" s="8">
        <f t="shared" si="24"/>
        <v>1850.4059999999999</v>
      </c>
      <c r="M26" s="8">
        <f t="shared" si="18"/>
        <v>936.68767663388996</v>
      </c>
      <c r="N26" s="8">
        <f t="shared" si="25"/>
        <v>1200.1169306655495</v>
      </c>
      <c r="O26" s="8">
        <f t="shared" si="26"/>
        <v>980.5417484297908</v>
      </c>
      <c r="P26" s="8">
        <f t="shared" si="27"/>
        <v>968.06193413422739</v>
      </c>
      <c r="Q26" s="27"/>
      <c r="R26" s="78">
        <f t="shared" si="32"/>
        <v>0</v>
      </c>
      <c r="S26" s="78">
        <f t="shared" si="32"/>
        <v>0</v>
      </c>
      <c r="T26" s="78">
        <f t="shared" si="32"/>
        <v>0</v>
      </c>
      <c r="U26" s="78">
        <f t="shared" si="32"/>
        <v>0</v>
      </c>
      <c r="V26" s="78">
        <f t="shared" si="32"/>
        <v>0</v>
      </c>
      <c r="W26" s="78">
        <f t="shared" si="32"/>
        <v>0</v>
      </c>
      <c r="X26" s="78">
        <f t="shared" si="32"/>
        <v>0</v>
      </c>
      <c r="Y26" s="78">
        <f t="shared" si="31"/>
        <v>0</v>
      </c>
      <c r="Z26" s="592">
        <v>0</v>
      </c>
      <c r="AA26" s="592">
        <v>0</v>
      </c>
      <c r="AB26" s="592">
        <v>0</v>
      </c>
      <c r="AC26" s="592">
        <v>0</v>
      </c>
      <c r="AD26" s="592">
        <v>0</v>
      </c>
      <c r="AE26" s="592">
        <v>0</v>
      </c>
      <c r="AF26" s="27"/>
      <c r="AG26" s="78">
        <f>AH26/AH8*AG8</f>
        <v>95.880066825527038</v>
      </c>
      <c r="AH26" s="78">
        <f>AI26/AI8*AH8</f>
        <v>97.260334235714737</v>
      </c>
      <c r="AI26" s="78">
        <f>AJ26/AJ8*AI8</f>
        <v>98.926539612648739</v>
      </c>
      <c r="AJ26" s="78">
        <f>AK26/AK8*AJ8</f>
        <v>100.3354884178604</v>
      </c>
      <c r="AK26" s="8">
        <v>101.44300000000001</v>
      </c>
      <c r="AL26" s="315">
        <v>45.043999999999997</v>
      </c>
      <c r="AM26" s="8">
        <v>5.3440000000000003</v>
      </c>
      <c r="AN26" s="315">
        <v>725.41899999999987</v>
      </c>
      <c r="AO26" s="282">
        <v>0.23650000000000004</v>
      </c>
      <c r="AP26" s="8">
        <v>11.355</v>
      </c>
      <c r="AQ26" s="1">
        <v>40.125500000000002</v>
      </c>
      <c r="AR26" s="282">
        <v>244.21228000000002</v>
      </c>
      <c r="AS26" s="282">
        <v>105.87699999999997</v>
      </c>
      <c r="AT26" s="282">
        <v>0.84949999999999992</v>
      </c>
      <c r="AU26" s="27"/>
      <c r="AV26" s="78">
        <f t="shared" si="33"/>
        <v>1.4089885212472042</v>
      </c>
      <c r="AW26" s="78">
        <f t="shared" si="33"/>
        <v>1.4463048940928824</v>
      </c>
      <c r="AX26" s="78">
        <f t="shared" si="33"/>
        <v>1.4857511511643204</v>
      </c>
      <c r="AY26" s="78">
        <f t="shared" si="33"/>
        <v>1.5208508419944744</v>
      </c>
      <c r="AZ26" s="78">
        <f t="shared" si="33"/>
        <v>1.5376495526904355</v>
      </c>
      <c r="BA26" s="78">
        <f t="shared" si="33"/>
        <v>1.5540610117089857</v>
      </c>
      <c r="BB26" s="78">
        <f t="shared" si="33"/>
        <v>1.598648368635706</v>
      </c>
      <c r="BC26" s="78">
        <f t="shared" si="28"/>
        <v>1.6229050124983555</v>
      </c>
      <c r="BD26" s="592">
        <v>4.92</v>
      </c>
      <c r="BE26" s="592">
        <v>0</v>
      </c>
      <c r="BF26" s="592">
        <v>0</v>
      </c>
      <c r="BG26" s="592">
        <v>0</v>
      </c>
      <c r="BH26" s="592">
        <v>3.2</v>
      </c>
      <c r="BI26" s="592">
        <v>0.8</v>
      </c>
      <c r="BJ26" s="27"/>
      <c r="BK26" s="8">
        <v>20.87</v>
      </c>
      <c r="BL26" s="8">
        <v>15.129999999999999</v>
      </c>
      <c r="BM26" s="8">
        <v>24.61</v>
      </c>
      <c r="BN26" s="8">
        <v>17.887999999999998</v>
      </c>
      <c r="BO26" s="8">
        <v>5.0590000000000002</v>
      </c>
      <c r="BP26" s="8">
        <v>5.4669999999999996</v>
      </c>
      <c r="BQ26" s="8">
        <v>124.11799999999999</v>
      </c>
      <c r="BR26" s="8">
        <v>69.070999999999998</v>
      </c>
      <c r="BS26" s="407">
        <v>275.30500000000001</v>
      </c>
      <c r="BT26" s="407">
        <v>577.96399999999994</v>
      </c>
      <c r="BU26" s="408">
        <f t="shared" si="29"/>
        <v>587.79182533277469</v>
      </c>
      <c r="BV26" s="601">
        <v>597.61965066554944</v>
      </c>
      <c r="BW26" s="602">
        <v>613.85874842979081</v>
      </c>
      <c r="BX26" s="722">
        <v>652.8360591342273</v>
      </c>
      <c r="BY26" s="27"/>
      <c r="BZ26" s="315">
        <v>54.730000000000004</v>
      </c>
      <c r="CA26" s="315">
        <v>32.47</v>
      </c>
      <c r="CB26" s="315">
        <v>16.53</v>
      </c>
      <c r="CC26" s="315">
        <v>17.2</v>
      </c>
      <c r="CD26" s="315">
        <v>27.56</v>
      </c>
      <c r="CE26" s="315">
        <v>10.69</v>
      </c>
      <c r="CF26" s="315">
        <v>811.79</v>
      </c>
      <c r="CG26" s="315">
        <v>7.5500000000000007</v>
      </c>
      <c r="CH26" s="8">
        <v>3.4001084944690851</v>
      </c>
      <c r="CI26" s="8">
        <v>1.4509999999999998</v>
      </c>
      <c r="CJ26" s="1">
        <v>2.0810000000000004</v>
      </c>
      <c r="CK26" s="1">
        <v>7.7940000000000005</v>
      </c>
      <c r="CL26" s="1">
        <v>0</v>
      </c>
      <c r="CM26" s="1">
        <v>4.0743750000000007</v>
      </c>
      <c r="CN26" s="27"/>
      <c r="CO26" s="78">
        <f t="shared" si="34"/>
        <v>309.32013715356771</v>
      </c>
      <c r="CP26" s="78">
        <f t="shared" si="34"/>
        <v>312.05327318330831</v>
      </c>
      <c r="CQ26" s="78">
        <f t="shared" si="34"/>
        <v>315.77632930855475</v>
      </c>
      <c r="CR26" s="78">
        <f t="shared" si="34"/>
        <v>318.72595136045305</v>
      </c>
      <c r="CS26" s="78">
        <f t="shared" si="34"/>
        <v>321.09093528855919</v>
      </c>
      <c r="CT26" s="78">
        <f t="shared" si="34"/>
        <v>322.11106273599398</v>
      </c>
      <c r="CU26" s="78">
        <f t="shared" si="34"/>
        <v>322.27153929311675</v>
      </c>
      <c r="CV26" s="78">
        <f t="shared" si="30"/>
        <v>322.99399846008475</v>
      </c>
      <c r="CW26" s="592">
        <v>0</v>
      </c>
      <c r="CX26" s="592">
        <v>1153.79</v>
      </c>
      <c r="CY26" s="592">
        <v>159.15</v>
      </c>
      <c r="CZ26" s="592">
        <v>305.39999999999998</v>
      </c>
      <c r="DA26" s="592">
        <v>0</v>
      </c>
      <c r="DB26" s="592">
        <v>0</v>
      </c>
      <c r="DC26" s="27"/>
      <c r="DD26" s="8">
        <v>451.2</v>
      </c>
      <c r="DE26" s="8">
        <v>419.613</v>
      </c>
      <c r="DF26" s="8">
        <v>334.495</v>
      </c>
      <c r="DG26" s="8">
        <v>302.89</v>
      </c>
      <c r="DH26" s="8">
        <v>313.35299999999995</v>
      </c>
      <c r="DI26" s="8">
        <v>240.23400000000001</v>
      </c>
      <c r="DJ26" s="8">
        <v>400.75299999999976</v>
      </c>
      <c r="DK26" s="8">
        <v>765.67899999999997</v>
      </c>
      <c r="DL26" s="8">
        <v>13.78</v>
      </c>
      <c r="DM26" s="8">
        <v>73.62</v>
      </c>
      <c r="DN26" s="1">
        <v>112.04386617100371</v>
      </c>
      <c r="DO26" s="1">
        <v>20.640999999999998</v>
      </c>
      <c r="DP26" s="1">
        <v>32.421000000000006</v>
      </c>
      <c r="DQ26" s="394">
        <v>247.06199999999998</v>
      </c>
      <c r="DR26" s="27"/>
      <c r="DS26" s="8">
        <v>45.993499999999997</v>
      </c>
      <c r="DT26" s="8">
        <v>314.71699999999998</v>
      </c>
      <c r="DU26" s="8">
        <v>10.199999999999999</v>
      </c>
      <c r="DV26" s="8">
        <v>219.108</v>
      </c>
      <c r="DW26" s="8">
        <v>23.588999999999999</v>
      </c>
      <c r="DX26" s="8">
        <v>9.452</v>
      </c>
      <c r="DY26" s="8">
        <v>15.059900000000001</v>
      </c>
      <c r="DZ26" s="8">
        <v>112.57900000000001</v>
      </c>
      <c r="EA26" s="8">
        <v>13.821999999999999</v>
      </c>
      <c r="EB26" s="8">
        <v>32.225999999999999</v>
      </c>
      <c r="EC26" s="281">
        <v>35.495485130111526</v>
      </c>
      <c r="ED26" s="395">
        <v>24.45</v>
      </c>
      <c r="EE26" s="393">
        <v>225.18499999999997</v>
      </c>
      <c r="EF26" s="393">
        <v>62.440000000000005</v>
      </c>
      <c r="EH26" s="65"/>
      <c r="EI26" s="249"/>
    </row>
    <row r="27" spans="1:139" s="26" customFormat="1">
      <c r="A27" s="27" t="s">
        <v>14</v>
      </c>
      <c r="B27" s="27"/>
      <c r="C27" s="8">
        <f t="shared" si="9"/>
        <v>165853.67733692861</v>
      </c>
      <c r="D27" s="8">
        <f t="shared" si="10"/>
        <v>181602.63586096201</v>
      </c>
      <c r="E27" s="8">
        <f t="shared" si="11"/>
        <v>168806.66381566646</v>
      </c>
      <c r="F27" s="8">
        <f t="shared" si="12"/>
        <v>199530.15227459569</v>
      </c>
      <c r="G27" s="8">
        <f t="shared" si="13"/>
        <v>192686.44959043758</v>
      </c>
      <c r="H27" s="8">
        <f t="shared" si="14"/>
        <v>194578.08211077476</v>
      </c>
      <c r="I27" s="8">
        <f t="shared" si="15"/>
        <v>195057.19542162991</v>
      </c>
      <c r="J27" s="8">
        <f t="shared" si="16"/>
        <v>203449.11800601962</v>
      </c>
      <c r="K27" s="8">
        <f t="shared" si="17"/>
        <v>243327.5936413412</v>
      </c>
      <c r="L27" s="8">
        <f t="shared" si="24"/>
        <v>315743.50526140677</v>
      </c>
      <c r="M27" s="8">
        <f t="shared" si="18"/>
        <v>145376.80508531129</v>
      </c>
      <c r="N27" s="8">
        <f t="shared" si="25"/>
        <v>210472.14933373712</v>
      </c>
      <c r="O27" s="8">
        <f t="shared" si="26"/>
        <v>231410.49025988189</v>
      </c>
      <c r="P27" s="8">
        <f t="shared" si="27"/>
        <v>266449.75518062204</v>
      </c>
      <c r="Q27" s="27"/>
      <c r="R27" s="78">
        <f t="shared" si="32"/>
        <v>268.25583533220407</v>
      </c>
      <c r="S27" s="78">
        <f t="shared" si="32"/>
        <v>272.84989518116163</v>
      </c>
      <c r="T27" s="78">
        <f t="shared" si="32"/>
        <v>278.33977688159848</v>
      </c>
      <c r="U27" s="78">
        <f t="shared" si="32"/>
        <v>283.69726721106446</v>
      </c>
      <c r="V27" s="78">
        <f t="shared" si="32"/>
        <v>289.22599428382205</v>
      </c>
      <c r="W27" s="78">
        <f t="shared" si="32"/>
        <v>294.74837925497627</v>
      </c>
      <c r="X27" s="78">
        <f t="shared" si="32"/>
        <v>301.24031300874918</v>
      </c>
      <c r="Y27" s="78">
        <f t="shared" si="31"/>
        <v>306.57243493180164</v>
      </c>
      <c r="Z27" s="592">
        <v>915.6099999999999</v>
      </c>
      <c r="AA27" s="592">
        <v>257.07100000000003</v>
      </c>
      <c r="AB27" s="592">
        <v>0.01</v>
      </c>
      <c r="AC27" s="592">
        <v>40.510000000000005</v>
      </c>
      <c r="AD27" s="592">
        <v>343.012</v>
      </c>
      <c r="AE27" s="592">
        <v>56.918999999999997</v>
      </c>
      <c r="AF27" s="27"/>
      <c r="AG27" s="73">
        <f>('Basel data'!F300+'Basel data'!F254)/2</f>
        <v>26710.313050000008</v>
      </c>
      <c r="AH27" s="73">
        <f>('Basel data'!F254+'Basel data'!F208)/2</f>
        <v>28792.636099999996</v>
      </c>
      <c r="AI27" s="73">
        <f>('Basel data'!F208+'Basel data'!F162)/2</f>
        <v>31946.943599999995</v>
      </c>
      <c r="AJ27" s="73">
        <f>('Basel data'!F162+'Basel data'!F116)/2</f>
        <v>54479.262499999997</v>
      </c>
      <c r="AK27" s="318">
        <f>AL27/'Interstate ''D'' wastes'!$F$40</f>
        <v>36953.610922478889</v>
      </c>
      <c r="AL27" s="318">
        <f>AM27/'Interstate ''D'' wastes'!$F$40</f>
        <v>38365.238859717581</v>
      </c>
      <c r="AM27" s="318">
        <f>AN27/'Interstate ''D'' wastes'!$F$40</f>
        <v>39830.79098415879</v>
      </c>
      <c r="AN27" s="318">
        <f>AO27/'Interstate ''D'' wastes'!$F$40</f>
        <v>41352.327199753658</v>
      </c>
      <c r="AO27" s="318">
        <f>AP27/'Interstate ''D'' wastes'!$F$40</f>
        <v>42931.986098784248</v>
      </c>
      <c r="AP27" s="318">
        <f>AQ27/'Interstate ''D'' wastes'!$F$40</f>
        <v>44571.987967757806</v>
      </c>
      <c r="AQ27" s="318">
        <f>AR27/'Interstate ''D'' wastes'!$F$40</f>
        <v>46274.637908126155</v>
      </c>
      <c r="AR27" s="318">
        <f>AS27/'Interstate ''D'' wastes'!$F$40</f>
        <v>48042.329076216578</v>
      </c>
      <c r="AS27" s="330">
        <f>'Interstate ''D'' wastes'!G45</f>
        <v>49877.546046928052</v>
      </c>
      <c r="AT27" s="330">
        <v>44168.795741720889</v>
      </c>
      <c r="AU27" s="27"/>
      <c r="AV27" s="78">
        <f t="shared" si="33"/>
        <v>347.95323258767752</v>
      </c>
      <c r="AW27" s="78">
        <f t="shared" si="33"/>
        <v>357.1686040149815</v>
      </c>
      <c r="AX27" s="78">
        <f t="shared" si="33"/>
        <v>366.90995566867838</v>
      </c>
      <c r="AY27" s="78">
        <f t="shared" si="33"/>
        <v>375.57791193873328</v>
      </c>
      <c r="AZ27" s="78">
        <f t="shared" si="33"/>
        <v>379.72639547981345</v>
      </c>
      <c r="BA27" s="78">
        <f t="shared" si="33"/>
        <v>383.77924625245851</v>
      </c>
      <c r="BB27" s="78">
        <f t="shared" si="33"/>
        <v>394.79020534917277</v>
      </c>
      <c r="BC27" s="78">
        <f t="shared" si="28"/>
        <v>400.78044410304562</v>
      </c>
      <c r="BD27" s="592">
        <v>232.53627</v>
      </c>
      <c r="BE27" s="592">
        <v>42.488</v>
      </c>
      <c r="BF27" s="592">
        <v>0</v>
      </c>
      <c r="BG27" s="592">
        <v>0</v>
      </c>
      <c r="BH27" s="592">
        <v>1730.23</v>
      </c>
      <c r="BI27" s="592">
        <v>1925.7</v>
      </c>
      <c r="BJ27" s="27"/>
      <c r="BK27" s="8">
        <v>9448.9989999999998</v>
      </c>
      <c r="BL27" s="8">
        <v>19120.307999999997</v>
      </c>
      <c r="BM27" s="8">
        <v>2442.9560000000001</v>
      </c>
      <c r="BN27" s="8">
        <v>6225.7959999999994</v>
      </c>
      <c r="BO27" s="8">
        <v>9911.1710000000003</v>
      </c>
      <c r="BP27" s="8">
        <v>9541.84</v>
      </c>
      <c r="BQ27" s="8">
        <v>7535.2169999999996</v>
      </c>
      <c r="BR27" s="8">
        <v>13122.683109999994</v>
      </c>
      <c r="BS27" s="407">
        <v>22172.913069999999</v>
      </c>
      <c r="BT27" s="407">
        <v>23887.575280000005</v>
      </c>
      <c r="BU27" s="408">
        <f t="shared" si="29"/>
        <v>26960.613123760249</v>
      </c>
      <c r="BV27" s="601">
        <v>30033.650967520494</v>
      </c>
      <c r="BW27" s="602">
        <v>28702.904693417277</v>
      </c>
      <c r="BX27" s="722">
        <v>39930.513540000007</v>
      </c>
      <c r="BY27" s="27"/>
      <c r="BZ27" s="381">
        <f>CA27/'Interstate ''D'' wastes'!$F$40</f>
        <v>6610.1960145001394</v>
      </c>
      <c r="CA27" s="381">
        <f>CB27/'Interstate ''D'' wastes'!$F$40</f>
        <v>6862.7055022540444</v>
      </c>
      <c r="CB27" s="381">
        <f>CC27/'Interstate ''D'' wastes'!$F$40</f>
        <v>7124.8608524401488</v>
      </c>
      <c r="CC27" s="381">
        <f>'Interstate ''D'' wastes'!$H$48*'Interstate ''D'' wastes'!C43</f>
        <v>7397.030537003363</v>
      </c>
      <c r="CD27" s="381">
        <f>'Interstate ''D'' wastes'!$H$48*'Interstate ''D'' wastes'!C44</f>
        <v>7679.5971035168923</v>
      </c>
      <c r="CE27" s="381">
        <f>'Interstate ''D'' wastes'!$H$48*'Interstate ''D'' wastes'!C45</f>
        <v>7972.9577128712372</v>
      </c>
      <c r="CF27" s="381">
        <f>'Interstate ''D'' wastes'!$H$48*'Interstate ''D'' wastes'!C46</f>
        <v>8292.906575854835</v>
      </c>
      <c r="CG27" s="381">
        <f>'Interstate ''D'' wastes'!$H$48*'Interstate ''D'' wastes'!C47</f>
        <v>8609.6956070524884</v>
      </c>
      <c r="CH27" s="39">
        <f>CG27*'Interstate ''D'' wastes'!$F$40</f>
        <v>8938.5859792418942</v>
      </c>
      <c r="CI27" s="39">
        <f>'Interstate ''D'' wastes'!H48*'Interstate ''D'' wastes'!C49</f>
        <v>9280.0399636489346</v>
      </c>
      <c r="CJ27" s="1">
        <v>8452.4174700000203</v>
      </c>
      <c r="CK27" s="1">
        <v>10296.27306</v>
      </c>
      <c r="CL27" s="403">
        <f>CK27*CL8/CK8</f>
        <v>10384.675257003501</v>
      </c>
      <c r="CM27" s="403">
        <v>7409.4792609501419</v>
      </c>
      <c r="CN27" s="27"/>
      <c r="CO27" s="78">
        <f t="shared" si="34"/>
        <v>95831.631799746858</v>
      </c>
      <c r="CP27" s="78">
        <f t="shared" si="34"/>
        <v>96678.394923774205</v>
      </c>
      <c r="CQ27" s="78">
        <f t="shared" si="34"/>
        <v>97831.848905295221</v>
      </c>
      <c r="CR27" s="78">
        <f t="shared" si="34"/>
        <v>98745.682375780176</v>
      </c>
      <c r="CS27" s="78">
        <f t="shared" si="34"/>
        <v>99478.38691644209</v>
      </c>
      <c r="CT27" s="78">
        <f t="shared" si="34"/>
        <v>99794.436426929838</v>
      </c>
      <c r="CU27" s="78">
        <f t="shared" si="34"/>
        <v>99844.154270960949</v>
      </c>
      <c r="CV27" s="78">
        <f t="shared" si="30"/>
        <v>100067.98205506949</v>
      </c>
      <c r="CW27" s="592">
        <v>144148.788</v>
      </c>
      <c r="CX27" s="592">
        <v>196444.35</v>
      </c>
      <c r="CY27" s="592">
        <v>7295.44</v>
      </c>
      <c r="CZ27" s="592">
        <v>61048.406999999999</v>
      </c>
      <c r="DA27" s="592">
        <v>92447</v>
      </c>
      <c r="DB27" s="592">
        <v>123180.54302795108</v>
      </c>
      <c r="DC27" s="27"/>
      <c r="DD27" s="248">
        <f>DE27/'Interstate ''D'' wastes'!$F$40</f>
        <v>26078.786674761726</v>
      </c>
      <c r="DE27" s="248">
        <f>DF27/'Interstate ''D'' wastes'!$F$40</f>
        <v>27074.996325737626</v>
      </c>
      <c r="DF27" s="248">
        <f>DG27/'Interstate ''D'' wastes'!$F$40</f>
        <v>28109.261185380805</v>
      </c>
      <c r="DG27" s="248">
        <f>'Interstate ''D'' wastes'!$H$50*'Interstate ''D'' wastes'!C43</f>
        <v>29183.03496266235</v>
      </c>
      <c r="DH27" s="248">
        <f>'Interstate ''D'' wastes'!$H$50*'Interstate ''D'' wastes'!C44</f>
        <v>30297.826898236053</v>
      </c>
      <c r="DI27" s="248">
        <f>'Interstate ''D'' wastes'!$H$50*'Interstate ''D'' wastes'!C45</f>
        <v>31455.20388574867</v>
      </c>
      <c r="DJ27" s="248">
        <f>'Interstate ''D'' wastes'!$H$50*'Interstate ''D'' wastes'!C46</f>
        <v>32717.477822297398</v>
      </c>
      <c r="DK27" s="248">
        <f>'Interstate ''D'' wastes'!$H$50*'Interstate ''D'' wastes'!C47</f>
        <v>33967.285475109158</v>
      </c>
      <c r="DL27" s="313">
        <f>18691.6600745+'Interstate ''D'' wastes'!K18</f>
        <v>19805.514623315059</v>
      </c>
      <c r="DM27" s="313">
        <f>11180.085+'Interstate ''D'' wastes'!L28</f>
        <v>36319.584999999999</v>
      </c>
      <c r="DN27" s="1">
        <v>49307.251463424873</v>
      </c>
      <c r="DO27" s="1">
        <v>54403.067000000025</v>
      </c>
      <c r="DP27" s="324">
        <f>40970.35865+'Interstate ''D'' wastes'!O18</f>
        <v>42418.353762533065</v>
      </c>
      <c r="DQ27" s="727">
        <v>41587.385609999954</v>
      </c>
      <c r="DR27" s="27"/>
      <c r="DS27" s="313">
        <f>557.54173+'NEPM data'!J265</f>
        <v>557.54173000000003</v>
      </c>
      <c r="DT27" s="313">
        <f>1432.95651+'NEPM data'!J250</f>
        <v>2443.5765099999999</v>
      </c>
      <c r="DU27" s="313">
        <f>569.92354+'NEPM data'!J235</f>
        <v>705.54354000000001</v>
      </c>
      <c r="DV27" s="313">
        <f>1107.82072+'NEPM data'!J220</f>
        <v>2840.0707199999997</v>
      </c>
      <c r="DW27" s="313">
        <f>1892.55436+'NEPM data'!J205</f>
        <v>7696.9043600000005</v>
      </c>
      <c r="DX27" s="313">
        <f>1182.4276+'NEPM data'!J190</f>
        <v>6769.8775999999998</v>
      </c>
      <c r="DY27" s="313">
        <f>959.47825+'NEPM data'!J175</f>
        <v>6140.6182500000004</v>
      </c>
      <c r="DZ27" s="313">
        <f>1409.79168+4212</f>
        <v>5621.7916800000003</v>
      </c>
      <c r="EA27" s="8">
        <v>4181.6596</v>
      </c>
      <c r="EB27" s="313">
        <f>1225.40805+3715</f>
        <v>4940.40805</v>
      </c>
      <c r="EC27" s="281">
        <v>7086.4351199999983</v>
      </c>
      <c r="ED27" s="395">
        <v>6607.9122299999963</v>
      </c>
      <c r="EE27" s="393">
        <v>5506.7684999999983</v>
      </c>
      <c r="EF27" s="393">
        <v>8190.4190000000017</v>
      </c>
      <c r="EH27" s="65"/>
      <c r="EI27" s="249"/>
    </row>
    <row r="28" spans="1:139" s="26" customFormat="1">
      <c r="A28" s="27" t="s">
        <v>15</v>
      </c>
      <c r="B28" s="27"/>
      <c r="C28" s="8">
        <f t="shared" si="9"/>
        <v>167288.70398173702</v>
      </c>
      <c r="D28" s="8">
        <f t="shared" si="10"/>
        <v>170892.89016414856</v>
      </c>
      <c r="E28" s="8">
        <f t="shared" si="11"/>
        <v>163345.66904328982</v>
      </c>
      <c r="F28" s="8">
        <f t="shared" si="12"/>
        <v>168674.67009836817</v>
      </c>
      <c r="G28" s="8">
        <f t="shared" si="13"/>
        <v>168096.07331226536</v>
      </c>
      <c r="H28" s="8">
        <f t="shared" si="14"/>
        <v>164746.48923614688</v>
      </c>
      <c r="I28" s="8">
        <f t="shared" si="15"/>
        <v>171988.11131108788</v>
      </c>
      <c r="J28" s="8">
        <f t="shared" si="16"/>
        <v>179108.09178356241</v>
      </c>
      <c r="K28" s="8">
        <f t="shared" si="17"/>
        <v>180453.04788834436</v>
      </c>
      <c r="L28" s="8">
        <f t="shared" si="24"/>
        <v>177280.18085635101</v>
      </c>
      <c r="M28" s="8">
        <f t="shared" si="18"/>
        <v>149954.42810371198</v>
      </c>
      <c r="N28" s="8">
        <f t="shared" si="25"/>
        <v>180414.89293242409</v>
      </c>
      <c r="O28" s="8">
        <f t="shared" si="26"/>
        <v>216352.23322397179</v>
      </c>
      <c r="P28" s="8">
        <f t="shared" si="27"/>
        <v>162159.4100798819</v>
      </c>
      <c r="Q28" s="27"/>
      <c r="R28" s="78">
        <f t="shared" si="32"/>
        <v>0</v>
      </c>
      <c r="S28" s="78">
        <f t="shared" si="32"/>
        <v>0</v>
      </c>
      <c r="T28" s="78">
        <f t="shared" si="32"/>
        <v>0</v>
      </c>
      <c r="U28" s="78">
        <f t="shared" si="32"/>
        <v>0</v>
      </c>
      <c r="V28" s="78">
        <f t="shared" si="32"/>
        <v>0</v>
      </c>
      <c r="W28" s="78">
        <f t="shared" si="32"/>
        <v>0</v>
      </c>
      <c r="X28" s="78">
        <f t="shared" si="32"/>
        <v>0</v>
      </c>
      <c r="Y28" s="78">
        <f t="shared" si="31"/>
        <v>0</v>
      </c>
      <c r="Z28" s="592">
        <v>0</v>
      </c>
      <c r="AA28" s="592">
        <v>0</v>
      </c>
      <c r="AB28" s="592">
        <v>0</v>
      </c>
      <c r="AC28" s="592">
        <v>0</v>
      </c>
      <c r="AD28" s="592">
        <v>0</v>
      </c>
      <c r="AE28" s="592">
        <v>0</v>
      </c>
      <c r="AF28" s="27"/>
      <c r="AG28" s="320">
        <f>(('Basel data'!F292+'Basel data'!F246)/2)+'Interstate ''D'' wastes'!C7</f>
        <v>12594.022299249613</v>
      </c>
      <c r="AH28" s="320">
        <f>('Basel data'!F246+'Basel data'!F200)/2+'Interstate ''D'' wastes'!D7</f>
        <v>15746.500450314654</v>
      </c>
      <c r="AI28" s="320">
        <f>('Basel data'!F200+'Basel data'!F154)/2+'Interstate ''D'' wastes'!E7</f>
        <v>12143.235301371584</v>
      </c>
      <c r="AJ28" s="320">
        <f>('Basel data'!F154+'Basel data'!F108)/2+'Interstate ''D'' wastes'!F7</f>
        <v>12476.711416814545</v>
      </c>
      <c r="AK28" s="313">
        <f>4646.918+'Interstate ''D'' wastes'!G7</f>
        <v>11114.372879780421</v>
      </c>
      <c r="AL28" s="317">
        <f>1881.05914+'Interstate ''D'' wastes'!H7</f>
        <v>7121.1725477778618</v>
      </c>
      <c r="AM28" s="313">
        <f>1071.3569+'Interstate ''D'' wastes'!I7</f>
        <v>13762.228624705273</v>
      </c>
      <c r="AN28" s="313">
        <f>1023.7994+'Interstate ''D'' wastes'!J7</f>
        <v>12305.865472938312</v>
      </c>
      <c r="AO28" s="313">
        <f>0.763000000000005+'Interstate ''D'' wastes'!K7</f>
        <v>10816.206896401289</v>
      </c>
      <c r="AP28" s="314">
        <v>10941.203819999997</v>
      </c>
      <c r="AQ28" s="1">
        <v>10738.931499999997</v>
      </c>
      <c r="AR28" s="282">
        <v>9913.7210000000014</v>
      </c>
      <c r="AS28" s="318">
        <f>(AR28*((AR28/AN28)^(1/5)-1))+AR28</f>
        <v>9494.270442357174</v>
      </c>
      <c r="AT28" s="318">
        <v>8920.9925599999988</v>
      </c>
      <c r="AU28" s="27"/>
      <c r="AV28" s="78">
        <f t="shared" si="33"/>
        <v>2.2038055398713974</v>
      </c>
      <c r="AW28" s="78">
        <f t="shared" si="33"/>
        <v>2.2621722532725945</v>
      </c>
      <c r="AX28" s="78">
        <f t="shared" si="33"/>
        <v>2.323870328558741</v>
      </c>
      <c r="AY28" s="78">
        <f t="shared" si="33"/>
        <v>2.3787699192458214</v>
      </c>
      <c r="AZ28" s="78">
        <f t="shared" si="33"/>
        <v>2.4050448612600306</v>
      </c>
      <c r="BA28" s="78">
        <f t="shared" si="33"/>
        <v>2.4307141011133395</v>
      </c>
      <c r="BB28" s="78">
        <f t="shared" si="33"/>
        <v>2.5004533947424674</v>
      </c>
      <c r="BC28" s="78">
        <f t="shared" si="28"/>
        <v>2.5383933249243515</v>
      </c>
      <c r="BD28" s="592">
        <v>0</v>
      </c>
      <c r="BE28" s="592">
        <v>0</v>
      </c>
      <c r="BF28" s="592">
        <v>0</v>
      </c>
      <c r="BG28" s="592">
        <v>0</v>
      </c>
      <c r="BH28" s="592">
        <v>12.700529999999999</v>
      </c>
      <c r="BI28" s="721">
        <v>0</v>
      </c>
      <c r="BJ28" s="27"/>
      <c r="BK28" s="8">
        <v>1793.6680000000001</v>
      </c>
      <c r="BL28" s="8">
        <v>1584.8710000000001</v>
      </c>
      <c r="BM28" s="8">
        <v>474.90800000000002</v>
      </c>
      <c r="BN28" s="8">
        <v>829.86099999999999</v>
      </c>
      <c r="BO28" s="8">
        <v>1000.474</v>
      </c>
      <c r="BP28" s="8">
        <v>614.71199999999999</v>
      </c>
      <c r="BQ28" s="8">
        <v>459.35500000000002</v>
      </c>
      <c r="BR28" s="8">
        <v>2375.0815999999995</v>
      </c>
      <c r="BS28" s="407">
        <v>411.83500000000004</v>
      </c>
      <c r="BT28" s="407">
        <v>329.54199999999997</v>
      </c>
      <c r="BU28" s="408">
        <f t="shared" si="29"/>
        <v>335.14560371201878</v>
      </c>
      <c r="BV28" s="601">
        <v>340.74920742403759</v>
      </c>
      <c r="BW28" s="602">
        <v>473.24466414765823</v>
      </c>
      <c r="BX28" s="722">
        <v>564.38323188190134</v>
      </c>
      <c r="BY28" s="27"/>
      <c r="BZ28" s="317">
        <f>'Interstate ''D'' wastes'!D72</f>
        <v>510.37813372302071</v>
      </c>
      <c r="CA28" s="317">
        <f>'Interstate ''D'' wastes'!E72</f>
        <v>206.32112978397299</v>
      </c>
      <c r="CB28" s="404">
        <f>(CA28+CC28)/2</f>
        <v>612.47826097359825</v>
      </c>
      <c r="CC28" s="317">
        <f>'Interstate ''D'' wastes'!G72</f>
        <v>1018.6353921632235</v>
      </c>
      <c r="CD28" s="317">
        <f>'Interstate ''D'' wastes'!H72</f>
        <v>2268.8644415732324</v>
      </c>
      <c r="CE28" s="317">
        <f>'Interstate ''D'' wastes'!I72</f>
        <v>1133.0671951399727</v>
      </c>
      <c r="CF28" s="317">
        <f>'Interstate ''D'' wastes'!J72</f>
        <v>1668.4883063246034</v>
      </c>
      <c r="CG28" s="317">
        <f>'Interstate ''D'' wastes'!K72</f>
        <v>17055.304392947506</v>
      </c>
      <c r="CH28" s="313">
        <f>'Interstate ''D'' wastes'!L72</f>
        <v>41081.414020758122</v>
      </c>
      <c r="CI28" s="313">
        <f>'Interstate ''D'' wastes'!M63-('Interstate ''D'' wastes'!M65-'Interstate ''D'' wastes'!M66)-'Interstate ''D'' wastes'!M68-'Interstate ''D'' wastes'!M69</f>
        <v>1449.1300363510672</v>
      </c>
      <c r="CJ28" s="1">
        <v>7.1451999999699183</v>
      </c>
      <c r="CK28" s="1">
        <v>9.2227000000420958</v>
      </c>
      <c r="CL28" s="1">
        <v>20.923200000000001</v>
      </c>
      <c r="CM28" s="1">
        <v>63.903608000022359</v>
      </c>
      <c r="CN28" s="27"/>
      <c r="CO28" s="78">
        <f t="shared" si="34"/>
        <v>137470.63054322454</v>
      </c>
      <c r="CP28" s="78">
        <f t="shared" si="34"/>
        <v>138685.31361179668</v>
      </c>
      <c r="CQ28" s="78">
        <f t="shared" si="34"/>
        <v>140339.94521061608</v>
      </c>
      <c r="CR28" s="78">
        <f t="shared" si="34"/>
        <v>141650.84079947113</v>
      </c>
      <c r="CS28" s="78">
        <f t="shared" si="34"/>
        <v>142701.90664605045</v>
      </c>
      <c r="CT28" s="78">
        <f t="shared" si="34"/>
        <v>143155.28017912793</v>
      </c>
      <c r="CU28" s="78">
        <f t="shared" si="34"/>
        <v>143226.60050666326</v>
      </c>
      <c r="CV28" s="78">
        <f t="shared" si="30"/>
        <v>143547.68182435166</v>
      </c>
      <c r="CW28" s="592">
        <v>112896</v>
      </c>
      <c r="CX28" s="592">
        <v>149332.22399999999</v>
      </c>
      <c r="CY28" s="592">
        <v>118574.51999999999</v>
      </c>
      <c r="CZ28" s="592">
        <v>151536.39199999999</v>
      </c>
      <c r="DA28" s="592">
        <v>186897</v>
      </c>
      <c r="DB28" s="592">
        <v>148489.41799999998</v>
      </c>
      <c r="DC28" s="27"/>
      <c r="DD28" s="8">
        <v>14230.658999999996</v>
      </c>
      <c r="DE28" s="8">
        <v>14493.375999999993</v>
      </c>
      <c r="DF28" s="8">
        <v>9246.7040000000088</v>
      </c>
      <c r="DG28" s="8">
        <v>12105.034000000003</v>
      </c>
      <c r="DH28" s="8">
        <v>10411.001000000002</v>
      </c>
      <c r="DI28" s="8">
        <f>12239.219</f>
        <v>12239.218999999999</v>
      </c>
      <c r="DJ28" s="8">
        <f>12384.122</f>
        <v>12384.121999999999</v>
      </c>
      <c r="DK28" s="313">
        <f>2457.212+('Interstate ''D'' wastes'!O19*11006)</f>
        <v>2457.212</v>
      </c>
      <c r="DL28" s="313">
        <f>171.47+'Interstate ''D'' wastes'!K17</f>
        <v>14643.61545118494</v>
      </c>
      <c r="DM28" s="313">
        <f>92.55+'Interstate ''D'' wastes'!L17</f>
        <v>14622.55</v>
      </c>
      <c r="DN28" s="281">
        <v>19846.005799999999</v>
      </c>
      <c r="DO28" s="1">
        <v>18358</v>
      </c>
      <c r="DP28" s="324">
        <f>169.8516+'Interstate ''D'' wastes'!O17</f>
        <v>18983.435387466943</v>
      </c>
      <c r="DQ28" s="727">
        <v>3703.5006800000006</v>
      </c>
      <c r="DR28" s="27"/>
      <c r="DS28" s="8">
        <v>687.1422</v>
      </c>
      <c r="DT28" s="8">
        <v>174.2458</v>
      </c>
      <c r="DU28" s="8">
        <v>526.07439999999997</v>
      </c>
      <c r="DV28" s="8">
        <v>591.20871999999997</v>
      </c>
      <c r="DW28" s="8">
        <v>597.04930000000002</v>
      </c>
      <c r="DX28" s="8">
        <v>480.60759999999999</v>
      </c>
      <c r="DY28" s="8">
        <v>484.81642000000005</v>
      </c>
      <c r="DZ28" s="8">
        <v>1364.4081000000001</v>
      </c>
      <c r="EA28" s="8">
        <v>603.97652000000005</v>
      </c>
      <c r="EB28" s="8">
        <v>605.53100000000006</v>
      </c>
      <c r="EC28" s="281">
        <v>452.68</v>
      </c>
      <c r="ED28" s="395">
        <v>256.80802499999999</v>
      </c>
      <c r="EE28" s="393">
        <v>470.65899999999999</v>
      </c>
      <c r="EF28" s="393">
        <v>417.21199999999999</v>
      </c>
      <c r="EH28" s="65"/>
      <c r="EI28" s="249"/>
    </row>
    <row r="29" spans="1:139" s="26" customFormat="1">
      <c r="A29" s="27" t="s">
        <v>16</v>
      </c>
      <c r="B29" s="27"/>
      <c r="C29" s="8">
        <f t="shared" si="9"/>
        <v>1637.1599999999999</v>
      </c>
      <c r="D29" s="8">
        <f t="shared" si="10"/>
        <v>1197.379539</v>
      </c>
      <c r="E29" s="8">
        <f t="shared" si="11"/>
        <v>744.66198899999995</v>
      </c>
      <c r="F29" s="8">
        <f t="shared" si="12"/>
        <v>897.28044999999986</v>
      </c>
      <c r="G29" s="8">
        <f t="shared" si="13"/>
        <v>116.56</v>
      </c>
      <c r="H29" s="8">
        <f t="shared" si="14"/>
        <v>11</v>
      </c>
      <c r="I29" s="8">
        <f t="shared" si="15"/>
        <v>6.52</v>
      </c>
      <c r="J29" s="8">
        <f t="shared" si="16"/>
        <v>1</v>
      </c>
      <c r="K29" s="8">
        <f t="shared" si="17"/>
        <v>0.04</v>
      </c>
      <c r="L29" s="8">
        <f t="shared" si="24"/>
        <v>138.25700000000001</v>
      </c>
      <c r="M29" s="8">
        <f t="shared" si="18"/>
        <v>284.36</v>
      </c>
      <c r="N29" s="8">
        <f t="shared" si="25"/>
        <v>2.0007000000000001</v>
      </c>
      <c r="O29" s="8">
        <f t="shared" si="26"/>
        <v>407.66200000000003</v>
      </c>
      <c r="P29" s="8">
        <f t="shared" si="27"/>
        <v>293.78100000000001</v>
      </c>
      <c r="Q29" s="27"/>
      <c r="R29" s="78">
        <f t="shared" si="32"/>
        <v>0</v>
      </c>
      <c r="S29" s="78">
        <f t="shared" si="32"/>
        <v>0</v>
      </c>
      <c r="T29" s="78">
        <f t="shared" si="32"/>
        <v>0</v>
      </c>
      <c r="U29" s="78">
        <f t="shared" si="32"/>
        <v>0</v>
      </c>
      <c r="V29" s="78">
        <f t="shared" si="32"/>
        <v>0</v>
      </c>
      <c r="W29" s="78">
        <f t="shared" si="32"/>
        <v>0</v>
      </c>
      <c r="X29" s="78">
        <f t="shared" si="32"/>
        <v>0</v>
      </c>
      <c r="Y29" s="78">
        <f t="shared" si="31"/>
        <v>0</v>
      </c>
      <c r="Z29" s="592">
        <v>0</v>
      </c>
      <c r="AA29" s="592">
        <v>0</v>
      </c>
      <c r="AB29" s="592">
        <v>0</v>
      </c>
      <c r="AC29" s="592">
        <v>0</v>
      </c>
      <c r="AD29" s="592">
        <v>0</v>
      </c>
      <c r="AE29" s="592">
        <v>0</v>
      </c>
      <c r="AF29" s="27"/>
      <c r="AG29" s="73">
        <f>('Basel data'!F294+'Basel data'!F248)/2</f>
        <v>1211.08</v>
      </c>
      <c r="AH29" s="73">
        <f>('Basel data'!F248+'Basel data'!F202)/2</f>
        <v>866.856539</v>
      </c>
      <c r="AI29" s="73">
        <f>('Basel data'!F202+'Basel data'!F156)/2</f>
        <v>568.94198899999992</v>
      </c>
      <c r="AJ29" s="73">
        <f>('Basel data'!F156+'Basel data'!F110)/2</f>
        <v>351.64544999999998</v>
      </c>
      <c r="AK29" s="8">
        <v>0</v>
      </c>
      <c r="AL29" s="315">
        <v>0</v>
      </c>
      <c r="AM29" s="8">
        <v>0</v>
      </c>
      <c r="AN29" s="315">
        <v>0</v>
      </c>
      <c r="AO29" s="282">
        <v>0</v>
      </c>
      <c r="AP29" s="8">
        <v>72.257000000000005</v>
      </c>
      <c r="AQ29" s="1">
        <v>161.36000000000001</v>
      </c>
      <c r="AR29" s="282">
        <v>0</v>
      </c>
      <c r="AS29" s="282">
        <v>373.14200000000005</v>
      </c>
      <c r="AT29" s="282">
        <v>273.78000000000003</v>
      </c>
      <c r="AU29" s="27"/>
      <c r="AV29" s="78">
        <f t="shared" si="33"/>
        <v>0</v>
      </c>
      <c r="AW29" s="78">
        <f t="shared" si="33"/>
        <v>0</v>
      </c>
      <c r="AX29" s="78">
        <f t="shared" si="33"/>
        <v>0</v>
      </c>
      <c r="AY29" s="78">
        <f t="shared" si="33"/>
        <v>0</v>
      </c>
      <c r="AZ29" s="78">
        <f t="shared" si="33"/>
        <v>0</v>
      </c>
      <c r="BA29" s="78">
        <f t="shared" si="33"/>
        <v>0</v>
      </c>
      <c r="BB29" s="78">
        <f t="shared" si="33"/>
        <v>0</v>
      </c>
      <c r="BC29" s="78">
        <f t="shared" si="28"/>
        <v>0</v>
      </c>
      <c r="BD29" s="592">
        <v>0</v>
      </c>
      <c r="BE29" s="592">
        <v>0</v>
      </c>
      <c r="BF29" s="592">
        <v>0</v>
      </c>
      <c r="BG29" s="592">
        <v>0</v>
      </c>
      <c r="BH29" s="592">
        <v>0</v>
      </c>
      <c r="BI29" s="721">
        <v>0</v>
      </c>
      <c r="BJ29" s="27"/>
      <c r="BK29" s="8">
        <v>0</v>
      </c>
      <c r="BL29" s="8">
        <v>0</v>
      </c>
      <c r="BM29" s="8">
        <v>0</v>
      </c>
      <c r="BN29" s="8">
        <v>0</v>
      </c>
      <c r="BO29" s="8">
        <v>0</v>
      </c>
      <c r="BP29" s="8">
        <v>0</v>
      </c>
      <c r="BQ29" s="8">
        <v>0</v>
      </c>
      <c r="BR29" s="8">
        <v>1</v>
      </c>
      <c r="BS29" s="407">
        <v>0</v>
      </c>
      <c r="BT29" s="407">
        <v>0</v>
      </c>
      <c r="BU29" s="408">
        <f t="shared" si="29"/>
        <v>0</v>
      </c>
      <c r="BV29" s="601">
        <v>0</v>
      </c>
      <c r="BW29" s="602">
        <v>34.5</v>
      </c>
      <c r="BX29" s="722">
        <v>20</v>
      </c>
      <c r="BY29" s="27"/>
      <c r="BZ29" s="315">
        <v>404.78</v>
      </c>
      <c r="CA29" s="315">
        <v>0</v>
      </c>
      <c r="CB29" s="315">
        <v>32.119999999999997</v>
      </c>
      <c r="CC29" s="315">
        <v>0</v>
      </c>
      <c r="CD29" s="315">
        <v>0</v>
      </c>
      <c r="CE29" s="315">
        <v>0</v>
      </c>
      <c r="CF29" s="315">
        <v>6.52</v>
      </c>
      <c r="CG29" s="315">
        <v>0</v>
      </c>
      <c r="CH29" s="8">
        <v>0</v>
      </c>
      <c r="CI29" s="8">
        <v>0</v>
      </c>
      <c r="CJ29" s="1">
        <v>0</v>
      </c>
      <c r="CK29" s="1">
        <v>6.9999999999999999E-4</v>
      </c>
      <c r="CL29" s="1">
        <v>0</v>
      </c>
      <c r="CM29" s="1">
        <v>1E-3</v>
      </c>
      <c r="CN29" s="27"/>
      <c r="CO29" s="78">
        <f t="shared" si="34"/>
        <v>0</v>
      </c>
      <c r="CP29" s="78">
        <f t="shared" si="34"/>
        <v>0</v>
      </c>
      <c r="CQ29" s="78">
        <f t="shared" si="34"/>
        <v>0</v>
      </c>
      <c r="CR29" s="78">
        <f t="shared" si="34"/>
        <v>0</v>
      </c>
      <c r="CS29" s="78">
        <f t="shared" si="34"/>
        <v>0</v>
      </c>
      <c r="CT29" s="78">
        <f t="shared" si="34"/>
        <v>0</v>
      </c>
      <c r="CU29" s="78">
        <f t="shared" si="34"/>
        <v>0</v>
      </c>
      <c r="CV29" s="78">
        <f t="shared" si="30"/>
        <v>0</v>
      </c>
      <c r="CW29" s="592">
        <v>0</v>
      </c>
      <c r="CX29" s="592">
        <v>0</v>
      </c>
      <c r="CY29" s="592">
        <v>0</v>
      </c>
      <c r="CZ29" s="592">
        <v>0</v>
      </c>
      <c r="DA29" s="592">
        <v>0</v>
      </c>
      <c r="DB29" s="592">
        <v>0</v>
      </c>
      <c r="DC29" s="27"/>
      <c r="DD29" s="8">
        <v>21.3</v>
      </c>
      <c r="DE29" s="8">
        <v>330.52299999999997</v>
      </c>
      <c r="DF29" s="8">
        <v>143.59999999999997</v>
      </c>
      <c r="DG29" s="8">
        <v>545.63499999999988</v>
      </c>
      <c r="DH29" s="8">
        <v>116.56</v>
      </c>
      <c r="DI29" s="8">
        <v>0</v>
      </c>
      <c r="DJ29" s="8">
        <v>0</v>
      </c>
      <c r="DK29" s="8">
        <v>0</v>
      </c>
      <c r="DL29" s="8">
        <v>0</v>
      </c>
      <c r="DM29" s="8">
        <v>66</v>
      </c>
      <c r="DN29" s="1">
        <v>123</v>
      </c>
      <c r="DO29" s="1">
        <v>2</v>
      </c>
      <c r="DP29" s="1">
        <v>0.02</v>
      </c>
      <c r="DQ29" s="394">
        <v>0</v>
      </c>
      <c r="DR29" s="27"/>
      <c r="DS29" s="8">
        <v>0</v>
      </c>
      <c r="DT29" s="8">
        <v>0</v>
      </c>
      <c r="DU29" s="8">
        <v>0</v>
      </c>
      <c r="DV29" s="8">
        <v>0</v>
      </c>
      <c r="DW29" s="8">
        <v>0</v>
      </c>
      <c r="DX29" s="8">
        <v>11</v>
      </c>
      <c r="DY29" s="8">
        <v>0</v>
      </c>
      <c r="DZ29" s="8">
        <v>0</v>
      </c>
      <c r="EA29" s="8">
        <v>0.04</v>
      </c>
      <c r="EB29" s="8">
        <v>0</v>
      </c>
      <c r="EC29" s="281">
        <v>0</v>
      </c>
      <c r="ED29" s="395">
        <v>0</v>
      </c>
      <c r="EE29" s="393">
        <v>0</v>
      </c>
      <c r="EF29" s="393">
        <v>0</v>
      </c>
      <c r="EH29" s="65"/>
      <c r="EI29" s="249"/>
    </row>
    <row r="30" spans="1:139" s="26" customFormat="1">
      <c r="A30" s="27" t="s">
        <v>69</v>
      </c>
      <c r="B30" s="27"/>
      <c r="C30" s="8">
        <f t="shared" si="9"/>
        <v>0</v>
      </c>
      <c r="D30" s="8">
        <f t="shared" si="10"/>
        <v>0</v>
      </c>
      <c r="E30" s="8">
        <f t="shared" si="11"/>
        <v>0</v>
      </c>
      <c r="F30" s="8">
        <f t="shared" si="12"/>
        <v>0</v>
      </c>
      <c r="G30" s="8">
        <f t="shared" si="13"/>
        <v>21.4</v>
      </c>
      <c r="H30" s="8">
        <f t="shared" si="14"/>
        <v>0</v>
      </c>
      <c r="I30" s="8">
        <f t="shared" si="15"/>
        <v>0.01</v>
      </c>
      <c r="J30" s="8">
        <f t="shared" si="16"/>
        <v>0</v>
      </c>
      <c r="K30" s="8">
        <f t="shared" si="17"/>
        <v>0</v>
      </c>
      <c r="L30" s="8">
        <f t="shared" si="24"/>
        <v>2.6</v>
      </c>
      <c r="M30" s="8">
        <f t="shared" si="18"/>
        <v>2.6442109644635554</v>
      </c>
      <c r="N30" s="8">
        <f t="shared" si="25"/>
        <v>2.6884219289271112</v>
      </c>
      <c r="O30" s="8">
        <f t="shared" si="26"/>
        <v>2.7335049625041599</v>
      </c>
      <c r="P30" s="8">
        <f t="shared" si="27"/>
        <v>2.7758950228858548</v>
      </c>
      <c r="Q30" s="27"/>
      <c r="R30" s="78">
        <f t="shared" ref="R30:X39" si="35">S30*R$8/S$8</f>
        <v>0</v>
      </c>
      <c r="S30" s="78">
        <f t="shared" si="35"/>
        <v>0</v>
      </c>
      <c r="T30" s="78">
        <f t="shared" si="35"/>
        <v>0</v>
      </c>
      <c r="U30" s="78">
        <f t="shared" si="35"/>
        <v>0</v>
      </c>
      <c r="V30" s="78">
        <f t="shared" si="35"/>
        <v>0</v>
      </c>
      <c r="W30" s="78">
        <f t="shared" si="35"/>
        <v>0</v>
      </c>
      <c r="X30" s="78">
        <f t="shared" si="35"/>
        <v>0</v>
      </c>
      <c r="Y30" s="78">
        <f t="shared" si="31"/>
        <v>0</v>
      </c>
      <c r="Z30" s="592">
        <v>0</v>
      </c>
      <c r="AA30" s="592">
        <v>0</v>
      </c>
      <c r="AB30" s="592">
        <v>0</v>
      </c>
      <c r="AC30" s="592">
        <v>0</v>
      </c>
      <c r="AD30" s="592">
        <v>0</v>
      </c>
      <c r="AE30" s="592">
        <v>0</v>
      </c>
      <c r="AF30" s="27"/>
      <c r="AG30" s="73">
        <f>('Basel data'!F297+'Basel data'!F251)/2</f>
        <v>0</v>
      </c>
      <c r="AH30" s="73">
        <f>('Basel data'!F251+'Basel data'!F205)/2</f>
        <v>0</v>
      </c>
      <c r="AI30" s="73">
        <f>('Basel data'!F205+'Basel data'!F159)/2</f>
        <v>0</v>
      </c>
      <c r="AJ30" s="73">
        <f>('Basel data'!F159+0)/2</f>
        <v>0</v>
      </c>
      <c r="AK30" s="8">
        <v>0</v>
      </c>
      <c r="AL30" s="315">
        <v>0</v>
      </c>
      <c r="AM30" s="8">
        <v>0</v>
      </c>
      <c r="AN30" s="315">
        <v>0</v>
      </c>
      <c r="AO30" s="282">
        <v>0</v>
      </c>
      <c r="AP30" s="8">
        <v>0</v>
      </c>
      <c r="AQ30" s="1">
        <v>0</v>
      </c>
      <c r="AR30" s="282">
        <v>0</v>
      </c>
      <c r="AS30" s="282">
        <v>0</v>
      </c>
      <c r="AT30" s="282">
        <v>0</v>
      </c>
      <c r="AU30" s="27"/>
      <c r="AV30" s="78">
        <f t="shared" ref="AV30:BB39" si="36">AW30*AV$8/AW$8</f>
        <v>0</v>
      </c>
      <c r="AW30" s="78">
        <f t="shared" si="36"/>
        <v>0</v>
      </c>
      <c r="AX30" s="78">
        <f t="shared" si="36"/>
        <v>0</v>
      </c>
      <c r="AY30" s="78">
        <f t="shared" si="36"/>
        <v>0</v>
      </c>
      <c r="AZ30" s="78">
        <f t="shared" si="36"/>
        <v>0</v>
      </c>
      <c r="BA30" s="78">
        <f t="shared" si="36"/>
        <v>0</v>
      </c>
      <c r="BB30" s="78">
        <f t="shared" si="36"/>
        <v>0</v>
      </c>
      <c r="BC30" s="78">
        <f t="shared" si="28"/>
        <v>0</v>
      </c>
      <c r="BD30" s="592">
        <v>0</v>
      </c>
      <c r="BE30" s="592">
        <v>0</v>
      </c>
      <c r="BF30" s="592">
        <v>0</v>
      </c>
      <c r="BG30" s="592">
        <v>0</v>
      </c>
      <c r="BH30" s="592">
        <v>0</v>
      </c>
      <c r="BI30" s="721">
        <v>0</v>
      </c>
      <c r="BJ30" s="27"/>
      <c r="BK30" s="8">
        <v>0</v>
      </c>
      <c r="BL30" s="8">
        <v>0</v>
      </c>
      <c r="BM30" s="8">
        <v>0</v>
      </c>
      <c r="BN30" s="8">
        <v>0</v>
      </c>
      <c r="BO30" s="8">
        <v>21.4</v>
      </c>
      <c r="BP30" s="8">
        <v>0</v>
      </c>
      <c r="BQ30" s="8">
        <v>0</v>
      </c>
      <c r="BR30" s="8">
        <v>0</v>
      </c>
      <c r="BS30" s="407">
        <v>0</v>
      </c>
      <c r="BT30" s="407">
        <v>2.6</v>
      </c>
      <c r="BU30" s="408">
        <f t="shared" si="29"/>
        <v>2.6442109644635554</v>
      </c>
      <c r="BV30" s="601">
        <v>2.6884219289271112</v>
      </c>
      <c r="BW30" s="602">
        <v>2.7335049625041599</v>
      </c>
      <c r="BX30" s="722">
        <v>2.7758950228858548</v>
      </c>
      <c r="BY30" s="27"/>
      <c r="BZ30" s="315">
        <v>0</v>
      </c>
      <c r="CA30" s="315">
        <v>0</v>
      </c>
      <c r="CB30" s="315">
        <v>0</v>
      </c>
      <c r="CC30" s="315">
        <v>0</v>
      </c>
      <c r="CD30" s="315">
        <v>0</v>
      </c>
      <c r="CE30" s="315">
        <v>0</v>
      </c>
      <c r="CF30" s="315">
        <v>0</v>
      </c>
      <c r="CG30" s="315">
        <v>0</v>
      </c>
      <c r="CH30" s="8">
        <v>0</v>
      </c>
      <c r="CI30" s="8">
        <v>0</v>
      </c>
      <c r="CJ30" s="1">
        <v>0</v>
      </c>
      <c r="CK30" s="1">
        <v>0</v>
      </c>
      <c r="CL30" s="1">
        <v>0</v>
      </c>
      <c r="CM30" s="1">
        <v>0</v>
      </c>
      <c r="CN30" s="27"/>
      <c r="CO30" s="78">
        <f t="shared" ref="CO30:CU39" si="37">CP30*CO$8/CP$8</f>
        <v>0</v>
      </c>
      <c r="CP30" s="78">
        <f t="shared" si="37"/>
        <v>0</v>
      </c>
      <c r="CQ30" s="78">
        <f t="shared" si="37"/>
        <v>0</v>
      </c>
      <c r="CR30" s="78">
        <f t="shared" si="37"/>
        <v>0</v>
      </c>
      <c r="CS30" s="78">
        <f t="shared" si="37"/>
        <v>0</v>
      </c>
      <c r="CT30" s="78">
        <f t="shared" si="37"/>
        <v>0</v>
      </c>
      <c r="CU30" s="78">
        <f t="shared" si="37"/>
        <v>0</v>
      </c>
      <c r="CV30" s="78">
        <f t="shared" si="30"/>
        <v>0</v>
      </c>
      <c r="CW30" s="592">
        <v>0</v>
      </c>
      <c r="CX30" s="592">
        <v>0</v>
      </c>
      <c r="CY30" s="592">
        <v>0</v>
      </c>
      <c r="CZ30" s="592">
        <v>0</v>
      </c>
      <c r="DA30" s="592">
        <v>0</v>
      </c>
      <c r="DB30" s="592">
        <v>0</v>
      </c>
      <c r="DC30" s="27"/>
      <c r="DD30" s="8">
        <v>0</v>
      </c>
      <c r="DE30" s="8">
        <v>0</v>
      </c>
      <c r="DF30" s="8">
        <v>0</v>
      </c>
      <c r="DG30" s="8">
        <v>0</v>
      </c>
      <c r="DH30" s="8">
        <v>0</v>
      </c>
      <c r="DI30" s="8">
        <v>0</v>
      </c>
      <c r="DJ30" s="8">
        <v>0</v>
      </c>
      <c r="DK30" s="8">
        <v>0</v>
      </c>
      <c r="DL30" s="8">
        <v>0</v>
      </c>
      <c r="DM30" s="8">
        <v>0</v>
      </c>
      <c r="DN30" s="1">
        <v>0</v>
      </c>
      <c r="DO30" s="1">
        <v>0</v>
      </c>
      <c r="DP30" s="1">
        <v>0</v>
      </c>
      <c r="DQ30" s="1">
        <v>0</v>
      </c>
      <c r="DR30" s="27"/>
      <c r="DS30" s="8">
        <v>0</v>
      </c>
      <c r="DT30" s="8">
        <v>0</v>
      </c>
      <c r="DU30" s="8">
        <v>0</v>
      </c>
      <c r="DV30" s="8">
        <v>0</v>
      </c>
      <c r="DW30" s="8">
        <v>0</v>
      </c>
      <c r="DX30" s="8">
        <v>0</v>
      </c>
      <c r="DY30" s="8">
        <v>0.01</v>
      </c>
      <c r="DZ30" s="8">
        <v>0</v>
      </c>
      <c r="EA30" s="8">
        <v>0</v>
      </c>
      <c r="EB30" s="8">
        <v>0</v>
      </c>
      <c r="EC30" s="281">
        <v>0</v>
      </c>
      <c r="ED30" s="395">
        <v>0</v>
      </c>
      <c r="EE30" s="393">
        <v>0</v>
      </c>
      <c r="EF30" s="393">
        <v>0</v>
      </c>
      <c r="EH30" s="65"/>
      <c r="EI30" s="249"/>
    </row>
    <row r="31" spans="1:139" s="26" customFormat="1">
      <c r="A31" s="27" t="s">
        <v>70</v>
      </c>
      <c r="B31" s="27"/>
      <c r="C31" s="8">
        <f t="shared" si="9"/>
        <v>1.9792449871453477</v>
      </c>
      <c r="D31" s="8">
        <f t="shared" si="10"/>
        <v>72.177593785476688</v>
      </c>
      <c r="E31" s="8">
        <f t="shared" si="11"/>
        <v>943.73681535722494</v>
      </c>
      <c r="F31" s="8">
        <f t="shared" si="12"/>
        <v>486.17375323204772</v>
      </c>
      <c r="G31" s="8">
        <f t="shared" si="13"/>
        <v>2.0834999999999999</v>
      </c>
      <c r="H31" s="8">
        <f t="shared" si="14"/>
        <v>155.614</v>
      </c>
      <c r="I31" s="8">
        <f t="shared" si="15"/>
        <v>15.98</v>
      </c>
      <c r="J31" s="8">
        <f t="shared" si="16"/>
        <v>164.417</v>
      </c>
      <c r="K31" s="8">
        <f t="shared" si="17"/>
        <v>101.60300000000001</v>
      </c>
      <c r="L31" s="8">
        <f t="shared" si="24"/>
        <v>8.2370000000000001</v>
      </c>
      <c r="M31" s="8">
        <f t="shared" si="18"/>
        <v>2.4350000000000001</v>
      </c>
      <c r="N31" s="8">
        <f t="shared" si="25"/>
        <v>64.688249999999996</v>
      </c>
      <c r="O31" s="8">
        <f t="shared" si="26"/>
        <v>67.624113015727801</v>
      </c>
      <c r="P31" s="8">
        <f t="shared" si="27"/>
        <v>89.775450000000006</v>
      </c>
      <c r="Q31" s="27"/>
      <c r="R31" s="78">
        <f t="shared" si="35"/>
        <v>0</v>
      </c>
      <c r="S31" s="78">
        <f t="shared" si="35"/>
        <v>0</v>
      </c>
      <c r="T31" s="78">
        <f t="shared" si="35"/>
        <v>0</v>
      </c>
      <c r="U31" s="78">
        <f t="shared" si="35"/>
        <v>0</v>
      </c>
      <c r="V31" s="78">
        <f t="shared" si="35"/>
        <v>0</v>
      </c>
      <c r="W31" s="78">
        <f t="shared" si="35"/>
        <v>0</v>
      </c>
      <c r="X31" s="78">
        <f t="shared" si="35"/>
        <v>0</v>
      </c>
      <c r="Y31" s="78">
        <f t="shared" si="31"/>
        <v>0</v>
      </c>
      <c r="Z31" s="592">
        <v>0</v>
      </c>
      <c r="AA31" s="592">
        <v>0</v>
      </c>
      <c r="AB31" s="592">
        <v>0</v>
      </c>
      <c r="AC31" s="592">
        <v>0</v>
      </c>
      <c r="AD31" s="592">
        <v>0</v>
      </c>
      <c r="AE31" s="592">
        <v>0</v>
      </c>
      <c r="AF31" s="27"/>
      <c r="AG31" s="78">
        <f t="shared" ref="AG31:AJ39" si="38">AH31/AH$8*AG$8</f>
        <v>1.9692449871453477</v>
      </c>
      <c r="AH31" s="78">
        <f t="shared" si="38"/>
        <v>1.9975937854766874</v>
      </c>
      <c r="AI31" s="78">
        <f t="shared" si="38"/>
        <v>2.0318153572247821</v>
      </c>
      <c r="AJ31" s="78">
        <f t="shared" si="38"/>
        <v>2.0607532320476731</v>
      </c>
      <c r="AK31" s="8">
        <v>2.0834999999999999</v>
      </c>
      <c r="AL31" s="315">
        <v>31.794</v>
      </c>
      <c r="AM31" s="8">
        <v>15.98</v>
      </c>
      <c r="AN31" s="315">
        <v>0</v>
      </c>
      <c r="AO31" s="282">
        <v>0</v>
      </c>
      <c r="AP31" s="8">
        <v>3.0119999999999996</v>
      </c>
      <c r="AQ31" s="1">
        <v>2.4350000000000001</v>
      </c>
      <c r="AR31" s="282">
        <v>0</v>
      </c>
      <c r="AS31" s="282">
        <v>0</v>
      </c>
      <c r="AT31" s="282">
        <v>0</v>
      </c>
      <c r="AU31" s="27"/>
      <c r="AV31" s="78">
        <f t="shared" si="36"/>
        <v>0</v>
      </c>
      <c r="AW31" s="78">
        <f t="shared" si="36"/>
        <v>0</v>
      </c>
      <c r="AX31" s="78">
        <f t="shared" si="36"/>
        <v>0</v>
      </c>
      <c r="AY31" s="78">
        <f t="shared" si="36"/>
        <v>0</v>
      </c>
      <c r="AZ31" s="78">
        <f t="shared" si="36"/>
        <v>0</v>
      </c>
      <c r="BA31" s="78">
        <f t="shared" si="36"/>
        <v>0</v>
      </c>
      <c r="BB31" s="78">
        <f t="shared" si="36"/>
        <v>0</v>
      </c>
      <c r="BC31" s="78">
        <f t="shared" si="28"/>
        <v>0</v>
      </c>
      <c r="BD31" s="592">
        <v>0</v>
      </c>
      <c r="BE31" s="592">
        <v>0</v>
      </c>
      <c r="BF31" s="592">
        <v>0</v>
      </c>
      <c r="BG31" s="592">
        <v>0</v>
      </c>
      <c r="BH31" s="592">
        <v>0</v>
      </c>
      <c r="BI31" s="721">
        <v>0</v>
      </c>
      <c r="BJ31" s="27"/>
      <c r="BK31" s="8">
        <v>0</v>
      </c>
      <c r="BL31" s="8">
        <v>0</v>
      </c>
      <c r="BM31" s="8">
        <v>244.36</v>
      </c>
      <c r="BN31" s="8">
        <v>484.11300000000006</v>
      </c>
      <c r="BO31" s="8">
        <v>0</v>
      </c>
      <c r="BP31" s="8">
        <v>0</v>
      </c>
      <c r="BQ31" s="8">
        <v>0</v>
      </c>
      <c r="BR31" s="8">
        <v>79.016999999999996</v>
      </c>
      <c r="BS31" s="407">
        <v>101.60300000000001</v>
      </c>
      <c r="BT31" s="407">
        <v>0</v>
      </c>
      <c r="BU31" s="408">
        <f t="shared" si="29"/>
        <v>0</v>
      </c>
      <c r="BV31" s="601">
        <v>0</v>
      </c>
      <c r="BW31" s="602">
        <v>67.549113015727798</v>
      </c>
      <c r="BX31" s="722">
        <v>61.480000000000004</v>
      </c>
      <c r="BY31" s="27"/>
      <c r="BZ31" s="315">
        <v>0.01</v>
      </c>
      <c r="CA31" s="315">
        <v>0</v>
      </c>
      <c r="CB31" s="315">
        <v>2.68</v>
      </c>
      <c r="CC31" s="315">
        <v>0</v>
      </c>
      <c r="CD31" s="315">
        <v>0</v>
      </c>
      <c r="CE31" s="315">
        <v>0</v>
      </c>
      <c r="CF31" s="315">
        <v>0</v>
      </c>
      <c r="CG31" s="315">
        <v>0</v>
      </c>
      <c r="CH31" s="8">
        <v>0</v>
      </c>
      <c r="CI31" s="8">
        <v>0.22500000000000001</v>
      </c>
      <c r="CJ31" s="1">
        <v>0</v>
      </c>
      <c r="CK31" s="1">
        <v>62.52825</v>
      </c>
      <c r="CL31" s="1">
        <v>7.4999999999999997E-2</v>
      </c>
      <c r="CM31" s="1">
        <v>0.18045</v>
      </c>
      <c r="CN31" s="27"/>
      <c r="CO31" s="78">
        <f t="shared" si="37"/>
        <v>0</v>
      </c>
      <c r="CP31" s="78">
        <f t="shared" si="37"/>
        <v>0</v>
      </c>
      <c r="CQ31" s="78">
        <f t="shared" si="37"/>
        <v>0</v>
      </c>
      <c r="CR31" s="78">
        <f t="shared" si="37"/>
        <v>0</v>
      </c>
      <c r="CS31" s="78">
        <f t="shared" si="37"/>
        <v>0</v>
      </c>
      <c r="CT31" s="78">
        <f t="shared" si="37"/>
        <v>0</v>
      </c>
      <c r="CU31" s="78">
        <f t="shared" si="37"/>
        <v>0</v>
      </c>
      <c r="CV31" s="78">
        <f t="shared" si="30"/>
        <v>0</v>
      </c>
      <c r="CW31" s="592">
        <v>0</v>
      </c>
      <c r="CX31" s="592">
        <v>0</v>
      </c>
      <c r="CY31" s="592">
        <v>0</v>
      </c>
      <c r="CZ31" s="592">
        <v>0</v>
      </c>
      <c r="DA31" s="592">
        <v>0</v>
      </c>
      <c r="DB31" s="592">
        <v>0</v>
      </c>
      <c r="DC31" s="27"/>
      <c r="DD31" s="8">
        <v>0</v>
      </c>
      <c r="DE31" s="8">
        <v>0</v>
      </c>
      <c r="DF31" s="8">
        <v>0</v>
      </c>
      <c r="DG31" s="8">
        <v>0</v>
      </c>
      <c r="DH31" s="8">
        <v>0</v>
      </c>
      <c r="DI31" s="8">
        <v>0</v>
      </c>
      <c r="DJ31" s="8">
        <v>0</v>
      </c>
      <c r="DK31" s="8">
        <v>0</v>
      </c>
      <c r="DL31" s="8">
        <v>0</v>
      </c>
      <c r="DM31" s="8">
        <v>0</v>
      </c>
      <c r="DN31" s="1">
        <v>0</v>
      </c>
      <c r="DO31" s="1">
        <v>0</v>
      </c>
      <c r="DP31" s="1">
        <v>0</v>
      </c>
      <c r="DQ31" s="1">
        <v>0</v>
      </c>
      <c r="DR31" s="27"/>
      <c r="DS31" s="8">
        <v>0</v>
      </c>
      <c r="DT31" s="8">
        <v>70.180000000000007</v>
      </c>
      <c r="DU31" s="8">
        <v>694.66500000000008</v>
      </c>
      <c r="DV31" s="8">
        <v>0</v>
      </c>
      <c r="DW31" s="8">
        <v>0</v>
      </c>
      <c r="DX31" s="8">
        <v>123.82</v>
      </c>
      <c r="DY31" s="8">
        <v>0</v>
      </c>
      <c r="DZ31" s="8">
        <v>85.4</v>
      </c>
      <c r="EA31" s="8">
        <v>0</v>
      </c>
      <c r="EB31" s="8">
        <v>5</v>
      </c>
      <c r="EC31" s="281">
        <v>0</v>
      </c>
      <c r="ED31" s="395">
        <v>2.16</v>
      </c>
      <c r="EE31" s="393">
        <v>0</v>
      </c>
      <c r="EF31" s="393">
        <v>28.115000000000002</v>
      </c>
      <c r="EH31" s="65"/>
      <c r="EI31" s="249"/>
    </row>
    <row r="32" spans="1:139" s="26" customFormat="1">
      <c r="A32" s="27" t="s">
        <v>17</v>
      </c>
      <c r="B32" s="27"/>
      <c r="C32" s="8">
        <f t="shared" si="9"/>
        <v>53.079446618865937</v>
      </c>
      <c r="D32" s="8">
        <f t="shared" si="10"/>
        <v>84.172649980265746</v>
      </c>
      <c r="E32" s="8">
        <f t="shared" si="11"/>
        <v>60.146261084067881</v>
      </c>
      <c r="F32" s="8">
        <f t="shared" si="12"/>
        <v>37.622920964346797</v>
      </c>
      <c r="G32" s="8">
        <f t="shared" si="13"/>
        <v>38.085268550190769</v>
      </c>
      <c r="H32" s="8">
        <f t="shared" si="14"/>
        <v>46.959087455597945</v>
      </c>
      <c r="I32" s="8">
        <f t="shared" si="15"/>
        <v>48.949200006578081</v>
      </c>
      <c r="J32" s="8">
        <f t="shared" si="16"/>
        <v>39.936056834627024</v>
      </c>
      <c r="K32" s="8">
        <f t="shared" si="17"/>
        <v>2.5700000000000003</v>
      </c>
      <c r="L32" s="8">
        <f t="shared" si="24"/>
        <v>6.54</v>
      </c>
      <c r="M32" s="8">
        <f t="shared" si="18"/>
        <v>37.352600000000002</v>
      </c>
      <c r="N32" s="8">
        <f t="shared" si="25"/>
        <v>0.36049999999999999</v>
      </c>
      <c r="O32" s="8">
        <f t="shared" si="26"/>
        <v>100205.9645</v>
      </c>
      <c r="P32" s="8">
        <f t="shared" si="27"/>
        <v>50.322749999999999</v>
      </c>
      <c r="Q32" s="27"/>
      <c r="R32" s="78">
        <f t="shared" si="35"/>
        <v>0</v>
      </c>
      <c r="S32" s="78">
        <f t="shared" si="35"/>
        <v>0</v>
      </c>
      <c r="T32" s="78">
        <f t="shared" si="35"/>
        <v>0</v>
      </c>
      <c r="U32" s="78">
        <f t="shared" si="35"/>
        <v>0</v>
      </c>
      <c r="V32" s="78">
        <f t="shared" si="35"/>
        <v>0</v>
      </c>
      <c r="W32" s="78">
        <f t="shared" si="35"/>
        <v>0</v>
      </c>
      <c r="X32" s="78">
        <f t="shared" si="35"/>
        <v>0</v>
      </c>
      <c r="Y32" s="78">
        <f t="shared" si="31"/>
        <v>0</v>
      </c>
      <c r="Z32" s="592">
        <v>0</v>
      </c>
      <c r="AA32" s="592">
        <v>0</v>
      </c>
      <c r="AB32" s="592">
        <v>0</v>
      </c>
      <c r="AC32" s="592">
        <v>0</v>
      </c>
      <c r="AD32" s="592">
        <v>0</v>
      </c>
      <c r="AE32" s="592">
        <v>0</v>
      </c>
      <c r="AF32" s="27"/>
      <c r="AG32" s="78">
        <f t="shared" si="38"/>
        <v>0</v>
      </c>
      <c r="AH32" s="78">
        <f t="shared" si="38"/>
        <v>0</v>
      </c>
      <c r="AI32" s="78">
        <f t="shared" si="38"/>
        <v>0</v>
      </c>
      <c r="AJ32" s="78">
        <f t="shared" si="38"/>
        <v>0</v>
      </c>
      <c r="AK32" s="8">
        <v>0</v>
      </c>
      <c r="AL32" s="315">
        <v>0</v>
      </c>
      <c r="AM32" s="8">
        <v>0</v>
      </c>
      <c r="AN32" s="315">
        <v>0</v>
      </c>
      <c r="AO32" s="282">
        <v>0</v>
      </c>
      <c r="AP32" s="8">
        <v>0</v>
      </c>
      <c r="AQ32" s="1">
        <v>0</v>
      </c>
      <c r="AR32" s="282">
        <v>0</v>
      </c>
      <c r="AS32" s="282">
        <v>0.16250000000000001</v>
      </c>
      <c r="AT32" s="282">
        <v>0</v>
      </c>
      <c r="AU32" s="27"/>
      <c r="AV32" s="78">
        <f t="shared" si="36"/>
        <v>34.66944661886594</v>
      </c>
      <c r="AW32" s="78">
        <f t="shared" si="36"/>
        <v>35.587649980265759</v>
      </c>
      <c r="AX32" s="78">
        <f t="shared" si="36"/>
        <v>36.558261084067887</v>
      </c>
      <c r="AY32" s="78">
        <f t="shared" si="36"/>
        <v>37.421920964346796</v>
      </c>
      <c r="AZ32" s="78">
        <f t="shared" si="36"/>
        <v>37.835268550190769</v>
      </c>
      <c r="BA32" s="78">
        <f t="shared" si="36"/>
        <v>38.239087455597947</v>
      </c>
      <c r="BB32" s="78">
        <f t="shared" si="36"/>
        <v>39.336200006578082</v>
      </c>
      <c r="BC32" s="78">
        <f t="shared" si="28"/>
        <v>39.933056834627024</v>
      </c>
      <c r="BD32" s="592">
        <v>0</v>
      </c>
      <c r="BE32" s="592">
        <v>0</v>
      </c>
      <c r="BF32" s="592">
        <v>0</v>
      </c>
      <c r="BG32" s="592">
        <v>0</v>
      </c>
      <c r="BH32" s="592">
        <v>199.8</v>
      </c>
      <c r="BI32" s="721">
        <v>0</v>
      </c>
      <c r="BJ32" s="27"/>
      <c r="BK32" s="8">
        <v>0</v>
      </c>
      <c r="BL32" s="8">
        <v>0</v>
      </c>
      <c r="BM32" s="8">
        <v>0</v>
      </c>
      <c r="BN32" s="8">
        <v>0</v>
      </c>
      <c r="BO32" s="8">
        <v>0</v>
      </c>
      <c r="BP32" s="8">
        <v>0</v>
      </c>
      <c r="BQ32" s="8">
        <v>0</v>
      </c>
      <c r="BR32" s="8">
        <v>0</v>
      </c>
      <c r="BS32" s="407">
        <v>0</v>
      </c>
      <c r="BT32" s="407">
        <v>0</v>
      </c>
      <c r="BU32" s="408">
        <f t="shared" si="29"/>
        <v>0</v>
      </c>
      <c r="BV32" s="601">
        <v>0</v>
      </c>
      <c r="BW32" s="602">
        <v>0</v>
      </c>
      <c r="BX32" s="722">
        <v>0</v>
      </c>
      <c r="BY32" s="27"/>
      <c r="BZ32" s="315">
        <v>0</v>
      </c>
      <c r="CA32" s="315">
        <v>0</v>
      </c>
      <c r="CB32" s="315">
        <v>0</v>
      </c>
      <c r="CC32" s="315">
        <v>0</v>
      </c>
      <c r="CD32" s="315">
        <v>0</v>
      </c>
      <c r="CE32" s="315">
        <v>0</v>
      </c>
      <c r="CF32" s="315">
        <v>0</v>
      </c>
      <c r="CG32" s="315">
        <v>0</v>
      </c>
      <c r="CH32" s="8">
        <v>0</v>
      </c>
      <c r="CI32" s="8">
        <v>0</v>
      </c>
      <c r="CJ32" s="1">
        <v>2.5999999999999999E-3</v>
      </c>
      <c r="CK32" s="1">
        <v>5.0000000000000001E-4</v>
      </c>
      <c r="CL32" s="1">
        <v>2E-3</v>
      </c>
      <c r="CM32" s="1">
        <v>1.75E-3</v>
      </c>
      <c r="CN32" s="27"/>
      <c r="CO32" s="78">
        <f t="shared" si="37"/>
        <v>0</v>
      </c>
      <c r="CP32" s="78">
        <f t="shared" si="37"/>
        <v>0</v>
      </c>
      <c r="CQ32" s="78">
        <f t="shared" si="37"/>
        <v>0</v>
      </c>
      <c r="CR32" s="78">
        <f t="shared" si="37"/>
        <v>0</v>
      </c>
      <c r="CS32" s="78">
        <f t="shared" si="37"/>
        <v>0</v>
      </c>
      <c r="CT32" s="78">
        <f t="shared" si="37"/>
        <v>0</v>
      </c>
      <c r="CU32" s="78">
        <f t="shared" si="37"/>
        <v>0</v>
      </c>
      <c r="CV32" s="78">
        <f>AVERAGE(CW32:CZ32)*CV$8/CW$8</f>
        <v>0</v>
      </c>
      <c r="CW32" s="592">
        <v>0</v>
      </c>
      <c r="CX32" s="592">
        <v>0</v>
      </c>
      <c r="CY32" s="592">
        <v>0</v>
      </c>
      <c r="CZ32" s="592">
        <v>0</v>
      </c>
      <c r="DA32" s="592">
        <v>100000</v>
      </c>
      <c r="DB32" s="592">
        <v>0</v>
      </c>
      <c r="DC32" s="27"/>
      <c r="DD32" s="8">
        <v>10.65</v>
      </c>
      <c r="DE32" s="8">
        <v>48.16</v>
      </c>
      <c r="DF32" s="8">
        <v>8.3279999999999994</v>
      </c>
      <c r="DG32" s="8">
        <v>0.20100000000000001</v>
      </c>
      <c r="DH32" s="8">
        <v>0.25</v>
      </c>
      <c r="DI32" s="8">
        <v>8.7200000000000006</v>
      </c>
      <c r="DJ32" s="8">
        <v>9.1880000000000006</v>
      </c>
      <c r="DK32" s="8">
        <v>1E-3</v>
      </c>
      <c r="DL32" s="8">
        <v>0.16999999999999998</v>
      </c>
      <c r="DM32" s="8">
        <v>2.64</v>
      </c>
      <c r="DN32" s="1">
        <v>0</v>
      </c>
      <c r="DO32" s="1">
        <v>0.36</v>
      </c>
      <c r="DP32" s="1">
        <v>6</v>
      </c>
      <c r="DQ32" s="394">
        <v>50.320999999999998</v>
      </c>
      <c r="DR32" s="27"/>
      <c r="DS32" s="8">
        <v>7.76</v>
      </c>
      <c r="DT32" s="8">
        <v>0.42499999999999999</v>
      </c>
      <c r="DU32" s="8">
        <v>15.26</v>
      </c>
      <c r="DV32" s="8">
        <v>0</v>
      </c>
      <c r="DW32" s="8">
        <v>0</v>
      </c>
      <c r="DX32" s="8">
        <v>0</v>
      </c>
      <c r="DY32" s="8">
        <v>0.42500000000000004</v>
      </c>
      <c r="DZ32" s="8">
        <v>2E-3</v>
      </c>
      <c r="EA32" s="8">
        <v>2.4000000000000004</v>
      </c>
      <c r="EB32" s="8">
        <v>3.9</v>
      </c>
      <c r="EC32" s="281">
        <v>37.35</v>
      </c>
      <c r="ED32" s="395">
        <v>0</v>
      </c>
      <c r="EE32" s="393">
        <v>0</v>
      </c>
      <c r="EF32" s="393">
        <v>0</v>
      </c>
      <c r="EH32" s="65"/>
      <c r="EI32" s="249"/>
    </row>
    <row r="33" spans="1:139" s="26" customFormat="1">
      <c r="A33" s="27" t="s">
        <v>18</v>
      </c>
      <c r="B33" s="27"/>
      <c r="C33" s="8">
        <f t="shared" si="9"/>
        <v>46757.310896188748</v>
      </c>
      <c r="D33" s="8">
        <f t="shared" si="10"/>
        <v>52022.469887264422</v>
      </c>
      <c r="E33" s="8">
        <f t="shared" si="11"/>
        <v>65335.422730064587</v>
      </c>
      <c r="F33" s="8">
        <f t="shared" si="12"/>
        <v>92767.001060313487</v>
      </c>
      <c r="G33" s="8">
        <f t="shared" si="13"/>
        <v>89303.413272759644</v>
      </c>
      <c r="H33" s="8">
        <f t="shared" si="14"/>
        <v>71740.389026432007</v>
      </c>
      <c r="I33" s="8">
        <f t="shared" si="15"/>
        <v>89718.386212633282</v>
      </c>
      <c r="J33" s="8">
        <f t="shared" si="16"/>
        <v>93399.631763362078</v>
      </c>
      <c r="K33" s="8">
        <f t="shared" si="17"/>
        <v>67016.781581213989</v>
      </c>
      <c r="L33" s="8">
        <f t="shared" si="24"/>
        <v>46226.305075000004</v>
      </c>
      <c r="M33" s="8">
        <f t="shared" si="18"/>
        <v>50735.869991156978</v>
      </c>
      <c r="N33" s="8">
        <f t="shared" si="25"/>
        <v>77054.068034747237</v>
      </c>
      <c r="O33" s="8">
        <f t="shared" si="26"/>
        <v>84496.516473252137</v>
      </c>
      <c r="P33" s="8">
        <f t="shared" si="27"/>
        <v>86308.876059857226</v>
      </c>
      <c r="Q33" s="27"/>
      <c r="R33" s="78">
        <f t="shared" si="35"/>
        <v>2.2236675029609909E-2</v>
      </c>
      <c r="S33" s="78">
        <f t="shared" si="35"/>
        <v>2.2617492899988535E-2</v>
      </c>
      <c r="T33" s="78">
        <f t="shared" si="35"/>
        <v>2.3072568612218385E-2</v>
      </c>
      <c r="U33" s="78">
        <f t="shared" si="35"/>
        <v>2.3516669935431282E-2</v>
      </c>
      <c r="V33" s="78">
        <f t="shared" si="35"/>
        <v>2.3974965677971496E-2</v>
      </c>
      <c r="W33" s="78">
        <f t="shared" si="35"/>
        <v>2.4432735701277363E-2</v>
      </c>
      <c r="X33" s="78">
        <f t="shared" si="35"/>
        <v>2.4970875052533714E-2</v>
      </c>
      <c r="Y33" s="78">
        <f t="shared" si="31"/>
        <v>2.5412873498809236E-2</v>
      </c>
      <c r="Z33" s="592">
        <v>0.129</v>
      </c>
      <c r="AA33" s="592">
        <v>0</v>
      </c>
      <c r="AB33" s="592">
        <v>0</v>
      </c>
      <c r="AC33" s="592">
        <v>0</v>
      </c>
      <c r="AD33" s="592">
        <v>0</v>
      </c>
      <c r="AE33" s="592">
        <v>0</v>
      </c>
      <c r="AF33" s="27"/>
      <c r="AG33" s="78">
        <f>AH33/AH$8*AG$8</f>
        <v>16985.827502344004</v>
      </c>
      <c r="AH33" s="78">
        <f t="shared" si="38"/>
        <v>17230.35157197381</v>
      </c>
      <c r="AI33" s="78">
        <f t="shared" si="38"/>
        <v>17525.531561445241</v>
      </c>
      <c r="AJ33" s="78">
        <f t="shared" si="38"/>
        <v>17775.136741722268</v>
      </c>
      <c r="AK33" s="8">
        <v>17971.340200000031</v>
      </c>
      <c r="AL33" s="315">
        <v>17487.533000000007</v>
      </c>
      <c r="AM33" s="8">
        <v>26036.232179999981</v>
      </c>
      <c r="AN33" s="315">
        <v>33457.145400000009</v>
      </c>
      <c r="AO33" s="282">
        <v>29211.581799999996</v>
      </c>
      <c r="AP33" s="54">
        <f>28372-((2529+886)/2)</f>
        <v>26664.5</v>
      </c>
      <c r="AQ33" s="1">
        <v>25133.166100000002</v>
      </c>
      <c r="AR33" s="282">
        <v>19839.145112433263</v>
      </c>
      <c r="AS33" s="282">
        <v>18766.602479999987</v>
      </c>
      <c r="AT33" s="282">
        <v>11343.722450000007</v>
      </c>
      <c r="AU33" s="27"/>
      <c r="AV33" s="78">
        <f t="shared" si="36"/>
        <v>59.13587291145901</v>
      </c>
      <c r="AW33" s="78">
        <f t="shared" si="36"/>
        <v>60.702057623996836</v>
      </c>
      <c r="AX33" s="78">
        <f t="shared" si="36"/>
        <v>62.357634521773441</v>
      </c>
      <c r="AY33" s="78">
        <f t="shared" si="36"/>
        <v>63.830784107354283</v>
      </c>
      <c r="AZ33" s="78">
        <f t="shared" si="36"/>
        <v>64.535833442968027</v>
      </c>
      <c r="BA33" s="78">
        <f t="shared" si="36"/>
        <v>65.224629653992892</v>
      </c>
      <c r="BB33" s="78">
        <f t="shared" si="36"/>
        <v>67.095980792001058</v>
      </c>
      <c r="BC33" s="78">
        <f t="shared" si="28"/>
        <v>68.11404288909354</v>
      </c>
      <c r="BD33" s="592">
        <v>33.65</v>
      </c>
      <c r="BE33" s="592">
        <v>0</v>
      </c>
      <c r="BF33" s="592">
        <v>300.14999999999998</v>
      </c>
      <c r="BG33" s="592">
        <v>0</v>
      </c>
      <c r="BH33" s="592">
        <v>7</v>
      </c>
      <c r="BI33" s="592">
        <v>18.8</v>
      </c>
      <c r="BJ33" s="27"/>
      <c r="BK33" s="281">
        <v>4088.6350000000002</v>
      </c>
      <c r="BL33" s="281">
        <v>488.79099999999994</v>
      </c>
      <c r="BM33" s="281">
        <v>3019.4389999999999</v>
      </c>
      <c r="BN33" s="281">
        <v>44294.644999999997</v>
      </c>
      <c r="BO33" s="281">
        <v>52762.150999999998</v>
      </c>
      <c r="BP33" s="281">
        <v>35032.974000000002</v>
      </c>
      <c r="BQ33" s="281">
        <v>40426.008999999998</v>
      </c>
      <c r="BR33" s="281">
        <v>40793.647599999997</v>
      </c>
      <c r="BS33" s="407">
        <v>19532.636200000001</v>
      </c>
      <c r="BT33" s="407">
        <v>8007.2907999999998</v>
      </c>
      <c r="BU33" s="408">
        <f t="shared" si="29"/>
        <v>8147.5795111569823</v>
      </c>
      <c r="BV33" s="601">
        <v>8287.868222313964</v>
      </c>
      <c r="BW33" s="602">
        <v>20140.325883252153</v>
      </c>
      <c r="BX33" s="722">
        <v>20429.771162857254</v>
      </c>
      <c r="BY33" s="27"/>
      <c r="BZ33" s="315">
        <v>120.70000000000002</v>
      </c>
      <c r="CA33" s="315">
        <v>1555.7999999999997</v>
      </c>
      <c r="CB33" s="315">
        <v>2295.9299999999998</v>
      </c>
      <c r="CC33" s="315">
        <v>365.73</v>
      </c>
      <c r="CD33" s="315">
        <v>501.19</v>
      </c>
      <c r="CE33" s="315">
        <v>489.24</v>
      </c>
      <c r="CF33" s="315">
        <v>4461.91</v>
      </c>
      <c r="CG33" s="315">
        <v>361.90999999999997</v>
      </c>
      <c r="CH33" s="8">
        <v>237.96513601400093</v>
      </c>
      <c r="CI33" s="8">
        <v>872.67587500000002</v>
      </c>
      <c r="CJ33" s="1">
        <v>1027.9803800000002</v>
      </c>
      <c r="CK33" s="1">
        <v>823.06870000000004</v>
      </c>
      <c r="CL33" s="1">
        <v>284.81547999999998</v>
      </c>
      <c r="CM33" s="1">
        <v>280.19025100000022</v>
      </c>
      <c r="CN33" s="27"/>
      <c r="CO33" s="78">
        <f t="shared" si="37"/>
        <v>790.72528425825487</v>
      </c>
      <c r="CP33" s="78">
        <f t="shared" si="37"/>
        <v>797.71209017370734</v>
      </c>
      <c r="CQ33" s="78">
        <f t="shared" si="37"/>
        <v>807.22946152894951</v>
      </c>
      <c r="CR33" s="78">
        <f t="shared" si="37"/>
        <v>814.76967781394274</v>
      </c>
      <c r="CS33" s="78">
        <f t="shared" si="37"/>
        <v>820.81536435096086</v>
      </c>
      <c r="CT33" s="78">
        <f t="shared" si="37"/>
        <v>823.42314984231439</v>
      </c>
      <c r="CU33" s="78">
        <f t="shared" si="37"/>
        <v>823.83338136624741</v>
      </c>
      <c r="CV33" s="78">
        <f>AVERAGE(CW33:DA33)*CV$8/CW$8</f>
        <v>825.68022759948224</v>
      </c>
      <c r="CW33" s="592">
        <v>3580.09</v>
      </c>
      <c r="CX33" s="592">
        <v>533.22</v>
      </c>
      <c r="CY33" s="592">
        <v>2</v>
      </c>
      <c r="CZ33" s="592">
        <v>21</v>
      </c>
      <c r="DA33" s="592">
        <v>0.70599999999999996</v>
      </c>
      <c r="DB33" s="592">
        <v>4.8</v>
      </c>
      <c r="DC33" s="27"/>
      <c r="DD33" s="8">
        <v>13386.449999999993</v>
      </c>
      <c r="DE33" s="8">
        <v>17438.382000000005</v>
      </c>
      <c r="DF33" s="8">
        <v>27319.904000000006</v>
      </c>
      <c r="DG33" s="8">
        <v>18559.565999999999</v>
      </c>
      <c r="DH33" s="8">
        <v>9270.159999999998</v>
      </c>
      <c r="DI33" s="8">
        <v>6169.6040000000012</v>
      </c>
      <c r="DJ33" s="8">
        <v>4489.3140000000003</v>
      </c>
      <c r="DK33" s="8">
        <v>5009.9390000000021</v>
      </c>
      <c r="DL33" s="8">
        <v>5812.1429999999991</v>
      </c>
      <c r="DM33" s="313">
        <f>1678.489+'Interstate ''D'' wastes'!L29</f>
        <v>3385.989</v>
      </c>
      <c r="DN33" s="1">
        <v>2089.643</v>
      </c>
      <c r="DO33" s="1">
        <v>8829.8999999999978</v>
      </c>
      <c r="DP33" s="1">
        <v>13178.321549999999</v>
      </c>
      <c r="DQ33" s="394">
        <v>5022.8795000000009</v>
      </c>
      <c r="DR33" s="27"/>
      <c r="DS33" s="8">
        <v>11325.815000000002</v>
      </c>
      <c r="DT33" s="8">
        <v>14450.708550000003</v>
      </c>
      <c r="DU33" s="8">
        <v>14305.008</v>
      </c>
      <c r="DV33" s="8">
        <v>10893.299339999994</v>
      </c>
      <c r="DW33" s="8">
        <v>7913.1968999999972</v>
      </c>
      <c r="DX33" s="8">
        <v>11672.365814199997</v>
      </c>
      <c r="DY33" s="8">
        <v>13413.966699599998</v>
      </c>
      <c r="DZ33" s="8">
        <v>12883.170080000002</v>
      </c>
      <c r="EA33" s="8">
        <v>8608.5864452000005</v>
      </c>
      <c r="EB33" s="8">
        <v>6762.6293999999998</v>
      </c>
      <c r="EC33" s="281">
        <v>14035.35099999999</v>
      </c>
      <c r="ED33" s="395">
        <v>39253.086000000003</v>
      </c>
      <c r="EE33" s="393">
        <v>32118.745080000001</v>
      </c>
      <c r="EF33" s="393">
        <v>49208.712695999973</v>
      </c>
      <c r="EH33" s="65"/>
      <c r="EI33" s="249"/>
    </row>
    <row r="34" spans="1:139" s="26" customFormat="1">
      <c r="A34" s="27" t="s">
        <v>19</v>
      </c>
      <c r="B34" s="28"/>
      <c r="C34" s="8">
        <f t="shared" si="9"/>
        <v>25.36</v>
      </c>
      <c r="D34" s="8">
        <f t="shared" si="10"/>
        <v>3.3609999999999998</v>
      </c>
      <c r="E34" s="8">
        <f t="shared" si="11"/>
        <v>7.2009999999999996</v>
      </c>
      <c r="F34" s="8">
        <f t="shared" si="12"/>
        <v>16.667000000000002</v>
      </c>
      <c r="G34" s="8">
        <f t="shared" si="13"/>
        <v>13.523</v>
      </c>
      <c r="H34" s="8">
        <f t="shared" si="14"/>
        <v>112.254</v>
      </c>
      <c r="I34" s="8">
        <f t="shared" si="15"/>
        <v>18.386000000000003</v>
      </c>
      <c r="J34" s="8">
        <f t="shared" si="16"/>
        <v>6.8460000000000001</v>
      </c>
      <c r="K34" s="8">
        <f t="shared" si="17"/>
        <v>2.96</v>
      </c>
      <c r="L34" s="8">
        <f t="shared" si="24"/>
        <v>0.72602499999999992</v>
      </c>
      <c r="M34" s="8">
        <f t="shared" si="18"/>
        <v>2.177</v>
      </c>
      <c r="N34" s="8">
        <f t="shared" si="25"/>
        <v>0.54</v>
      </c>
      <c r="O34" s="8">
        <f t="shared" si="26"/>
        <v>10.0006</v>
      </c>
      <c r="P34" s="8">
        <f t="shared" si="27"/>
        <v>55.552430999999999</v>
      </c>
      <c r="Q34" s="28"/>
      <c r="R34" s="78">
        <f t="shared" si="35"/>
        <v>0</v>
      </c>
      <c r="S34" s="78">
        <f t="shared" si="35"/>
        <v>0</v>
      </c>
      <c r="T34" s="78">
        <f t="shared" si="35"/>
        <v>0</v>
      </c>
      <c r="U34" s="78">
        <f t="shared" si="35"/>
        <v>0</v>
      </c>
      <c r="V34" s="78">
        <f t="shared" si="35"/>
        <v>0</v>
      </c>
      <c r="W34" s="78">
        <f t="shared" si="35"/>
        <v>0</v>
      </c>
      <c r="X34" s="78">
        <f t="shared" si="35"/>
        <v>0</v>
      </c>
      <c r="Y34" s="78">
        <f t="shared" si="31"/>
        <v>0</v>
      </c>
      <c r="Z34" s="592">
        <v>0</v>
      </c>
      <c r="AA34" s="592">
        <v>0</v>
      </c>
      <c r="AB34" s="592">
        <v>0</v>
      </c>
      <c r="AC34" s="592">
        <v>0</v>
      </c>
      <c r="AD34" s="592">
        <v>0</v>
      </c>
      <c r="AE34" s="592">
        <v>0</v>
      </c>
      <c r="AF34" s="28"/>
      <c r="AG34" s="78">
        <f t="shared" si="38"/>
        <v>0</v>
      </c>
      <c r="AH34" s="78">
        <f t="shared" si="38"/>
        <v>0</v>
      </c>
      <c r="AI34" s="78">
        <f t="shared" si="38"/>
        <v>0</v>
      </c>
      <c r="AJ34" s="78">
        <f t="shared" si="38"/>
        <v>0</v>
      </c>
      <c r="AK34" s="8">
        <v>0</v>
      </c>
      <c r="AL34" s="315">
        <v>0</v>
      </c>
      <c r="AM34" s="8">
        <v>0</v>
      </c>
      <c r="AN34" s="315">
        <v>0</v>
      </c>
      <c r="AO34" s="282">
        <v>0</v>
      </c>
      <c r="AP34" s="8">
        <v>0</v>
      </c>
      <c r="AQ34" s="1">
        <v>0</v>
      </c>
      <c r="AR34" s="282">
        <v>0</v>
      </c>
      <c r="AS34" s="282">
        <v>10</v>
      </c>
      <c r="AT34" s="282">
        <v>0</v>
      </c>
      <c r="AU34" s="28"/>
      <c r="AV34" s="78">
        <f t="shared" si="36"/>
        <v>0</v>
      </c>
      <c r="AW34" s="78">
        <f t="shared" si="36"/>
        <v>0</v>
      </c>
      <c r="AX34" s="78">
        <f t="shared" si="36"/>
        <v>0</v>
      </c>
      <c r="AY34" s="78">
        <f t="shared" si="36"/>
        <v>0</v>
      </c>
      <c r="AZ34" s="78">
        <f t="shared" si="36"/>
        <v>0</v>
      </c>
      <c r="BA34" s="78">
        <f t="shared" si="36"/>
        <v>0</v>
      </c>
      <c r="BB34" s="78">
        <f t="shared" si="36"/>
        <v>0</v>
      </c>
      <c r="BC34" s="78">
        <f t="shared" si="28"/>
        <v>0</v>
      </c>
      <c r="BD34" s="592">
        <v>0</v>
      </c>
      <c r="BE34" s="592">
        <v>0</v>
      </c>
      <c r="BF34" s="592">
        <v>0</v>
      </c>
      <c r="BG34" s="592">
        <v>0</v>
      </c>
      <c r="BH34" s="592">
        <v>0</v>
      </c>
      <c r="BI34" s="721">
        <v>0</v>
      </c>
      <c r="BJ34" s="28"/>
      <c r="BK34" s="8"/>
      <c r="BL34" s="8"/>
      <c r="BM34" s="8"/>
      <c r="BN34" s="8">
        <v>9</v>
      </c>
      <c r="BO34" s="8">
        <v>5</v>
      </c>
      <c r="BP34" s="8">
        <v>108.04</v>
      </c>
      <c r="BQ34" s="8">
        <v>2.15</v>
      </c>
      <c r="BR34" s="8">
        <v>0</v>
      </c>
      <c r="BS34" s="407">
        <v>0</v>
      </c>
      <c r="BT34" s="407">
        <v>0</v>
      </c>
      <c r="BU34" s="408">
        <f t="shared" si="29"/>
        <v>0</v>
      </c>
      <c r="BV34" s="601">
        <v>0</v>
      </c>
      <c r="BW34" s="602">
        <v>0</v>
      </c>
      <c r="BX34" s="722">
        <v>0</v>
      </c>
      <c r="BY34" s="28"/>
      <c r="BZ34" s="315">
        <v>0</v>
      </c>
      <c r="CA34" s="315">
        <v>0</v>
      </c>
      <c r="CB34" s="315">
        <v>0</v>
      </c>
      <c r="CC34" s="315">
        <v>0</v>
      </c>
      <c r="CD34" s="315">
        <v>0.03</v>
      </c>
      <c r="CE34" s="315">
        <v>0</v>
      </c>
      <c r="CF34" s="315">
        <v>2.6</v>
      </c>
      <c r="CG34" s="315">
        <v>0</v>
      </c>
      <c r="CH34" s="8">
        <v>0</v>
      </c>
      <c r="CI34" s="8">
        <v>2.5000000000000001E-5</v>
      </c>
      <c r="CJ34" s="1">
        <v>0</v>
      </c>
      <c r="CK34" s="1">
        <v>0</v>
      </c>
      <c r="CL34" s="1">
        <v>6.0000000000000006E-4</v>
      </c>
      <c r="CM34" s="1">
        <v>2.081E-3</v>
      </c>
      <c r="CN34" s="28"/>
      <c r="CO34" s="78">
        <f t="shared" si="37"/>
        <v>0</v>
      </c>
      <c r="CP34" s="78">
        <f t="shared" si="37"/>
        <v>0</v>
      </c>
      <c r="CQ34" s="78">
        <f t="shared" si="37"/>
        <v>0</v>
      </c>
      <c r="CR34" s="78">
        <f t="shared" si="37"/>
        <v>0</v>
      </c>
      <c r="CS34" s="78">
        <f t="shared" si="37"/>
        <v>0</v>
      </c>
      <c r="CT34" s="78">
        <f t="shared" si="37"/>
        <v>0</v>
      </c>
      <c r="CU34" s="78">
        <f t="shared" si="37"/>
        <v>0</v>
      </c>
      <c r="CV34" s="78">
        <f t="shared" si="30"/>
        <v>0</v>
      </c>
      <c r="CW34" s="592">
        <v>0</v>
      </c>
      <c r="CX34" s="592">
        <v>0</v>
      </c>
      <c r="CY34" s="592">
        <v>0</v>
      </c>
      <c r="CZ34" s="592">
        <v>0</v>
      </c>
      <c r="DA34" s="592">
        <v>0</v>
      </c>
      <c r="DB34" s="592">
        <v>0</v>
      </c>
      <c r="DC34" s="28"/>
      <c r="DD34" s="8">
        <v>5.0600000000000005</v>
      </c>
      <c r="DE34" s="8">
        <v>2.4849999999999999</v>
      </c>
      <c r="DF34" s="8">
        <v>0.70099999999999996</v>
      </c>
      <c r="DG34" s="8">
        <v>7.6669999999999998</v>
      </c>
      <c r="DH34" s="8">
        <v>7.9930000000000003</v>
      </c>
      <c r="DI34" s="8">
        <v>4.2140000000000004</v>
      </c>
      <c r="DJ34" s="8">
        <v>5.2359999999999998</v>
      </c>
      <c r="DK34" s="8">
        <v>4.5599999999999996</v>
      </c>
      <c r="DL34" s="8">
        <v>2.2400000000000002</v>
      </c>
      <c r="DM34" s="8">
        <v>0.47</v>
      </c>
      <c r="DN34" s="1">
        <v>0.32</v>
      </c>
      <c r="DO34" s="1">
        <v>0.19</v>
      </c>
      <c r="DP34" s="1">
        <v>0</v>
      </c>
      <c r="DQ34" s="394">
        <v>54.491</v>
      </c>
      <c r="DR34" s="28"/>
      <c r="DS34" s="8">
        <v>20.3</v>
      </c>
      <c r="DT34" s="8">
        <v>0.876</v>
      </c>
      <c r="DU34" s="8">
        <v>6.5</v>
      </c>
      <c r="DV34" s="8">
        <v>0</v>
      </c>
      <c r="DW34" s="8">
        <v>0.5</v>
      </c>
      <c r="DX34" s="8">
        <v>0</v>
      </c>
      <c r="DY34" s="8">
        <v>8.4</v>
      </c>
      <c r="DZ34" s="8">
        <v>2.286</v>
      </c>
      <c r="EA34" s="8">
        <v>0.72</v>
      </c>
      <c r="EB34" s="8">
        <v>0.25600000000000001</v>
      </c>
      <c r="EC34" s="281">
        <v>1.857</v>
      </c>
      <c r="ED34" s="395">
        <v>0.35</v>
      </c>
      <c r="EE34" s="393">
        <v>0</v>
      </c>
      <c r="EF34" s="393">
        <v>1.05935</v>
      </c>
      <c r="EH34" s="65"/>
      <c r="EI34" s="249"/>
    </row>
    <row r="35" spans="1:139" s="26" customFormat="1">
      <c r="A35" s="27" t="s">
        <v>20</v>
      </c>
      <c r="B35" s="28"/>
      <c r="C35" s="8">
        <f t="shared" si="9"/>
        <v>219.19960281130773</v>
      </c>
      <c r="D35" s="8">
        <f t="shared" si="10"/>
        <v>290.637671745494</v>
      </c>
      <c r="E35" s="8">
        <f t="shared" si="11"/>
        <v>56.591744614195498</v>
      </c>
      <c r="F35" s="8">
        <f t="shared" si="12"/>
        <v>498.30612945352584</v>
      </c>
      <c r="G35" s="8">
        <f t="shared" si="13"/>
        <v>441.19524048562698</v>
      </c>
      <c r="H35" s="8">
        <f t="shared" si="14"/>
        <v>709.91187080236148</v>
      </c>
      <c r="I35" s="8">
        <f t="shared" si="15"/>
        <v>432.46295316816872</v>
      </c>
      <c r="J35" s="8">
        <f t="shared" si="16"/>
        <v>220.67179797723986</v>
      </c>
      <c r="K35" s="8">
        <f t="shared" si="17"/>
        <v>376.53697639000006</v>
      </c>
      <c r="L35" s="8">
        <f t="shared" si="24"/>
        <v>431.02200000000005</v>
      </c>
      <c r="M35" s="8">
        <f t="shared" si="18"/>
        <v>378.7885504100455</v>
      </c>
      <c r="N35" s="8">
        <f t="shared" si="25"/>
        <v>590.61410082009093</v>
      </c>
      <c r="O35" s="8">
        <f t="shared" si="26"/>
        <v>385.63975551465552</v>
      </c>
      <c r="P35" s="8">
        <f t="shared" si="27"/>
        <v>499.05929462226811</v>
      </c>
      <c r="Q35" s="28"/>
      <c r="R35" s="78">
        <f t="shared" si="35"/>
        <v>0</v>
      </c>
      <c r="S35" s="78">
        <f t="shared" si="35"/>
        <v>0</v>
      </c>
      <c r="T35" s="78">
        <f t="shared" si="35"/>
        <v>0</v>
      </c>
      <c r="U35" s="78">
        <f t="shared" si="35"/>
        <v>0</v>
      </c>
      <c r="V35" s="78">
        <f t="shared" si="35"/>
        <v>0</v>
      </c>
      <c r="W35" s="78">
        <f t="shared" si="35"/>
        <v>0</v>
      </c>
      <c r="X35" s="78">
        <f t="shared" si="35"/>
        <v>0</v>
      </c>
      <c r="Y35" s="78">
        <f t="shared" si="31"/>
        <v>0</v>
      </c>
      <c r="Z35" s="592">
        <v>0</v>
      </c>
      <c r="AA35" s="592">
        <v>0</v>
      </c>
      <c r="AB35" s="592">
        <v>0</v>
      </c>
      <c r="AC35" s="592">
        <v>0</v>
      </c>
      <c r="AD35" s="592">
        <v>0</v>
      </c>
      <c r="AE35" s="592">
        <v>0</v>
      </c>
      <c r="AF35" s="28"/>
      <c r="AG35" s="78">
        <f t="shared" si="38"/>
        <v>0</v>
      </c>
      <c r="AH35" s="78">
        <f t="shared" si="38"/>
        <v>0</v>
      </c>
      <c r="AI35" s="78">
        <f t="shared" si="38"/>
        <v>0</v>
      </c>
      <c r="AJ35" s="78">
        <f t="shared" si="38"/>
        <v>0</v>
      </c>
      <c r="AK35" s="8">
        <v>0</v>
      </c>
      <c r="AL35" s="315">
        <v>0</v>
      </c>
      <c r="AM35" s="8">
        <v>0</v>
      </c>
      <c r="AN35" s="315">
        <v>0</v>
      </c>
      <c r="AO35" s="282">
        <v>0</v>
      </c>
      <c r="AP35" s="8">
        <v>0.23599999999999999</v>
      </c>
      <c r="AQ35" s="1">
        <v>0</v>
      </c>
      <c r="AR35" s="282">
        <v>32.847999999999999</v>
      </c>
      <c r="AS35" s="282">
        <v>0</v>
      </c>
      <c r="AT35" s="282">
        <v>1.6000000000000005</v>
      </c>
      <c r="AU35" s="28"/>
      <c r="AV35" s="78">
        <f t="shared" si="36"/>
        <v>2.6028113077226681E-3</v>
      </c>
      <c r="AW35" s="78">
        <f t="shared" si="36"/>
        <v>2.6717454940139457E-3</v>
      </c>
      <c r="AX35" s="78">
        <f t="shared" si="36"/>
        <v>2.7446141955005921E-3</v>
      </c>
      <c r="AY35" s="78">
        <f t="shared" si="36"/>
        <v>2.8094535258518616E-3</v>
      </c>
      <c r="AZ35" s="78">
        <f t="shared" si="36"/>
        <v>2.8404856268911985E-3</v>
      </c>
      <c r="BA35" s="78">
        <f t="shared" si="36"/>
        <v>2.8708023615313773E-3</v>
      </c>
      <c r="BB35" s="78">
        <f t="shared" si="36"/>
        <v>2.9531681686620183E-3</v>
      </c>
      <c r="BC35" s="78">
        <f t="shared" si="28"/>
        <v>2.9979772398368637E-3</v>
      </c>
      <c r="BD35" s="592">
        <v>0</v>
      </c>
      <c r="BE35" s="592">
        <v>0</v>
      </c>
      <c r="BF35" s="592">
        <v>0</v>
      </c>
      <c r="BG35" s="592">
        <v>0</v>
      </c>
      <c r="BH35" s="592">
        <v>1.4999999999999999E-2</v>
      </c>
      <c r="BI35" s="721">
        <v>0</v>
      </c>
      <c r="BJ35" s="28"/>
      <c r="BK35" s="8">
        <v>143.23500000000001</v>
      </c>
      <c r="BL35" s="8">
        <v>150</v>
      </c>
      <c r="BM35" s="8">
        <v>21.321999999999999</v>
      </c>
      <c r="BN35" s="8">
        <v>428.99299999999999</v>
      </c>
      <c r="BO35" s="8">
        <v>365.96000000000004</v>
      </c>
      <c r="BP35" s="8">
        <v>640.53099999999995</v>
      </c>
      <c r="BQ35" s="8">
        <v>343.815</v>
      </c>
      <c r="BR35" s="8">
        <v>201.58420000000004</v>
      </c>
      <c r="BS35" s="407">
        <v>311.58080000000001</v>
      </c>
      <c r="BT35" s="407">
        <v>315.95400000000001</v>
      </c>
      <c r="BU35" s="408">
        <f t="shared" si="29"/>
        <v>321.32655041004546</v>
      </c>
      <c r="BV35" s="601">
        <v>326.69910082009091</v>
      </c>
      <c r="BW35" s="602">
        <v>348.57865551465557</v>
      </c>
      <c r="BX35" s="722">
        <v>357.66426862226808</v>
      </c>
      <c r="BY35" s="28"/>
      <c r="BZ35" s="315">
        <v>11</v>
      </c>
      <c r="CA35" s="315">
        <v>2</v>
      </c>
      <c r="CB35" s="315">
        <v>0</v>
      </c>
      <c r="CC35" s="315">
        <v>0</v>
      </c>
      <c r="CD35" s="315">
        <v>0.2</v>
      </c>
      <c r="CE35" s="315">
        <v>47.2</v>
      </c>
      <c r="CF35" s="315">
        <v>0.04</v>
      </c>
      <c r="CG35" s="315">
        <v>0.5</v>
      </c>
      <c r="CH35" s="8">
        <v>0.41717638999999995</v>
      </c>
      <c r="CI35" s="8">
        <v>0</v>
      </c>
      <c r="CJ35" s="1">
        <v>1.3120000000000001</v>
      </c>
      <c r="CK35" s="1">
        <v>0.53500000000000103</v>
      </c>
      <c r="CL35" s="1">
        <v>0.47109999999999996</v>
      </c>
      <c r="CM35" s="1">
        <v>33.338025999999999</v>
      </c>
      <c r="CN35" s="28"/>
      <c r="CO35" s="78">
        <f t="shared" si="37"/>
        <v>0</v>
      </c>
      <c r="CP35" s="78">
        <f t="shared" si="37"/>
        <v>0</v>
      </c>
      <c r="CQ35" s="78">
        <f t="shared" si="37"/>
        <v>0</v>
      </c>
      <c r="CR35" s="78">
        <f t="shared" si="37"/>
        <v>0</v>
      </c>
      <c r="CS35" s="78">
        <f t="shared" si="37"/>
        <v>0</v>
      </c>
      <c r="CT35" s="78">
        <f t="shared" si="37"/>
        <v>0</v>
      </c>
      <c r="CU35" s="78">
        <f t="shared" si="37"/>
        <v>0</v>
      </c>
      <c r="CV35" s="78">
        <f t="shared" si="30"/>
        <v>0</v>
      </c>
      <c r="CW35" s="592">
        <v>0</v>
      </c>
      <c r="CX35" s="592">
        <v>0</v>
      </c>
      <c r="CY35" s="592">
        <v>0</v>
      </c>
      <c r="CZ35" s="592">
        <v>0</v>
      </c>
      <c r="DA35" s="592">
        <v>0</v>
      </c>
      <c r="DB35" s="592">
        <v>0</v>
      </c>
      <c r="DC35" s="28"/>
      <c r="DD35" s="8">
        <v>63.97</v>
      </c>
      <c r="DE35" s="8">
        <v>14.014999999999999</v>
      </c>
      <c r="DF35" s="8">
        <v>25.738999999999997</v>
      </c>
      <c r="DG35" s="8">
        <v>48.09</v>
      </c>
      <c r="DH35" s="8">
        <v>67.22</v>
      </c>
      <c r="DI35" s="8">
        <v>11.937999999999997</v>
      </c>
      <c r="DJ35" s="8">
        <v>70.437000000000012</v>
      </c>
      <c r="DK35" s="8">
        <v>0.73099999999999998</v>
      </c>
      <c r="DL35" s="8">
        <v>0.36000000000000004</v>
      </c>
      <c r="DM35" s="8">
        <v>99.321000000000012</v>
      </c>
      <c r="DN35" s="1">
        <v>49.34</v>
      </c>
      <c r="DO35" s="1">
        <v>230.53200000000001</v>
      </c>
      <c r="DP35" s="1">
        <v>20.015000000000001</v>
      </c>
      <c r="DQ35" s="394">
        <v>95.951999999999984</v>
      </c>
      <c r="DR35" s="28"/>
      <c r="DS35" s="8">
        <v>0.99199999999999999</v>
      </c>
      <c r="DT35" s="8">
        <v>124.62</v>
      </c>
      <c r="DU35" s="8">
        <v>9.5280000000000005</v>
      </c>
      <c r="DV35" s="8">
        <v>21.220319999999997</v>
      </c>
      <c r="DW35" s="8">
        <v>7.8124000000000002</v>
      </c>
      <c r="DX35" s="8">
        <v>10.24</v>
      </c>
      <c r="DY35" s="8">
        <v>18.167999999999999</v>
      </c>
      <c r="DZ35" s="8">
        <v>17.8536</v>
      </c>
      <c r="EA35" s="8">
        <v>64.179000000000002</v>
      </c>
      <c r="EB35" s="8">
        <v>15.511000000000001</v>
      </c>
      <c r="EC35" s="281">
        <v>6.81</v>
      </c>
      <c r="ED35" s="395">
        <v>0</v>
      </c>
      <c r="EE35" s="393">
        <v>16.559999999999999</v>
      </c>
      <c r="EF35" s="393">
        <v>10.505000000000001</v>
      </c>
      <c r="EH35" s="65"/>
      <c r="EI35" s="249"/>
    </row>
    <row r="36" spans="1:139" s="26" customFormat="1">
      <c r="A36" s="27" t="s">
        <v>57</v>
      </c>
      <c r="B36" s="28"/>
      <c r="C36" s="8">
        <f t="shared" si="9"/>
        <v>587.2405</v>
      </c>
      <c r="D36" s="8">
        <f t="shared" si="10"/>
        <v>594.72399999999993</v>
      </c>
      <c r="E36" s="8">
        <f t="shared" si="11"/>
        <v>357.61950000000002</v>
      </c>
      <c r="F36" s="8">
        <f t="shared" si="12"/>
        <v>105.9145</v>
      </c>
      <c r="G36" s="8">
        <f t="shared" si="13"/>
        <v>23.400499999999997</v>
      </c>
      <c r="H36" s="8">
        <f t="shared" si="14"/>
        <v>23.396999999999998</v>
      </c>
      <c r="I36" s="8">
        <f t="shared" si="15"/>
        <v>27.233499999999999</v>
      </c>
      <c r="J36" s="8">
        <f t="shared" si="16"/>
        <v>31.140499999999999</v>
      </c>
      <c r="K36" s="8">
        <f t="shared" si="17"/>
        <v>13.5962</v>
      </c>
      <c r="L36" s="8">
        <f t="shared" si="24"/>
        <v>6.468</v>
      </c>
      <c r="M36" s="8">
        <f t="shared" si="18"/>
        <v>3.1366096993331447</v>
      </c>
      <c r="N36" s="8">
        <f t="shared" si="25"/>
        <v>12.24671939866629</v>
      </c>
      <c r="O36" s="8">
        <f t="shared" si="26"/>
        <v>14.418100543753679</v>
      </c>
      <c r="P36" s="8">
        <f t="shared" si="27"/>
        <v>13.077149443322103</v>
      </c>
      <c r="Q36" s="28"/>
      <c r="R36" s="78">
        <f t="shared" si="35"/>
        <v>0</v>
      </c>
      <c r="S36" s="78">
        <f t="shared" si="35"/>
        <v>0</v>
      </c>
      <c r="T36" s="78">
        <f t="shared" si="35"/>
        <v>0</v>
      </c>
      <c r="U36" s="78">
        <f t="shared" si="35"/>
        <v>0</v>
      </c>
      <c r="V36" s="78">
        <f t="shared" si="35"/>
        <v>0</v>
      </c>
      <c r="W36" s="78">
        <f t="shared" si="35"/>
        <v>0</v>
      </c>
      <c r="X36" s="78">
        <f t="shared" si="35"/>
        <v>0</v>
      </c>
      <c r="Y36" s="78">
        <f t="shared" si="31"/>
        <v>0</v>
      </c>
      <c r="Z36" s="592">
        <v>0</v>
      </c>
      <c r="AA36" s="592">
        <v>0</v>
      </c>
      <c r="AB36" s="592">
        <v>0</v>
      </c>
      <c r="AC36" s="592">
        <v>0</v>
      </c>
      <c r="AD36" s="592">
        <v>0</v>
      </c>
      <c r="AE36" s="592">
        <v>0</v>
      </c>
      <c r="AF36" s="28"/>
      <c r="AG36" s="78">
        <f t="shared" si="38"/>
        <v>0</v>
      </c>
      <c r="AH36" s="78">
        <f t="shared" si="38"/>
        <v>0</v>
      </c>
      <c r="AI36" s="78">
        <f t="shared" si="38"/>
        <v>0</v>
      </c>
      <c r="AJ36" s="78">
        <f t="shared" si="38"/>
        <v>0</v>
      </c>
      <c r="AK36" s="8">
        <v>0</v>
      </c>
      <c r="AL36" s="315">
        <v>0</v>
      </c>
      <c r="AM36" s="8">
        <v>0</v>
      </c>
      <c r="AN36" s="315">
        <v>0</v>
      </c>
      <c r="AO36" s="282">
        <v>0</v>
      </c>
      <c r="AP36" s="8">
        <v>0</v>
      </c>
      <c r="AQ36" s="1">
        <v>0</v>
      </c>
      <c r="AR36" s="282">
        <v>0</v>
      </c>
      <c r="AS36" s="282">
        <v>0</v>
      </c>
      <c r="AT36" s="282">
        <v>0</v>
      </c>
      <c r="AU36" s="28"/>
      <c r="AV36" s="78">
        <f t="shared" si="36"/>
        <v>0</v>
      </c>
      <c r="AW36" s="78">
        <f t="shared" si="36"/>
        <v>0</v>
      </c>
      <c r="AX36" s="78">
        <f t="shared" si="36"/>
        <v>0</v>
      </c>
      <c r="AY36" s="78">
        <f t="shared" si="36"/>
        <v>0</v>
      </c>
      <c r="AZ36" s="78">
        <f t="shared" si="36"/>
        <v>0</v>
      </c>
      <c r="BA36" s="78">
        <f t="shared" si="36"/>
        <v>0</v>
      </c>
      <c r="BB36" s="78">
        <f t="shared" si="36"/>
        <v>0</v>
      </c>
      <c r="BC36" s="78">
        <f t="shared" si="28"/>
        <v>0</v>
      </c>
      <c r="BD36" s="592">
        <v>0</v>
      </c>
      <c r="BE36" s="592">
        <v>0</v>
      </c>
      <c r="BF36" s="592">
        <v>0</v>
      </c>
      <c r="BG36" s="592">
        <v>0</v>
      </c>
      <c r="BH36" s="592">
        <v>0</v>
      </c>
      <c r="BI36" s="592">
        <v>0.2</v>
      </c>
      <c r="BJ36" s="28"/>
      <c r="BK36" s="8">
        <v>12.79</v>
      </c>
      <c r="BL36" s="8">
        <v>24.512</v>
      </c>
      <c r="BM36" s="8">
        <v>23.056000000000001</v>
      </c>
      <c r="BN36" s="8">
        <v>0.2</v>
      </c>
      <c r="BO36" s="8">
        <v>2.4</v>
      </c>
      <c r="BP36" s="8">
        <v>8.6</v>
      </c>
      <c r="BQ36" s="8">
        <v>0.02</v>
      </c>
      <c r="BR36" s="8">
        <v>1.1000000000000001</v>
      </c>
      <c r="BS36" s="407">
        <v>2.5000000000000001E-2</v>
      </c>
      <c r="BT36" s="407">
        <v>2.2999999999999998</v>
      </c>
      <c r="BU36" s="408">
        <f t="shared" si="29"/>
        <v>2.3391096993331448</v>
      </c>
      <c r="BV36" s="601">
        <v>2.3782193986662903</v>
      </c>
      <c r="BW36" s="602">
        <v>2.4181005437536798</v>
      </c>
      <c r="BX36" s="722">
        <v>2.4555994433221024</v>
      </c>
      <c r="BY36" s="28"/>
      <c r="BZ36" s="315">
        <v>566.59</v>
      </c>
      <c r="CA36" s="315">
        <v>569.53</v>
      </c>
      <c r="CB36" s="315">
        <v>287.5</v>
      </c>
      <c r="CC36" s="315">
        <v>93.38</v>
      </c>
      <c r="CD36" s="315">
        <v>0</v>
      </c>
      <c r="CE36" s="315">
        <v>0</v>
      </c>
      <c r="CF36" s="315">
        <v>3.4699999999999998</v>
      </c>
      <c r="CG36" s="315">
        <v>0.79</v>
      </c>
      <c r="CH36" s="8">
        <v>1.7667000000000002</v>
      </c>
      <c r="CI36" s="8">
        <v>0</v>
      </c>
      <c r="CJ36" s="1">
        <v>1.7500000000000002E-2</v>
      </c>
      <c r="CK36" s="1">
        <v>0</v>
      </c>
      <c r="CL36" s="1">
        <v>0</v>
      </c>
      <c r="CM36" s="1">
        <v>6.0000000000000006E-4</v>
      </c>
      <c r="CN36" s="28"/>
      <c r="CO36" s="78">
        <f t="shared" si="37"/>
        <v>0</v>
      </c>
      <c r="CP36" s="78">
        <f t="shared" si="37"/>
        <v>0</v>
      </c>
      <c r="CQ36" s="78">
        <f t="shared" si="37"/>
        <v>0</v>
      </c>
      <c r="CR36" s="78">
        <f t="shared" si="37"/>
        <v>0</v>
      </c>
      <c r="CS36" s="78">
        <f t="shared" si="37"/>
        <v>0</v>
      </c>
      <c r="CT36" s="78">
        <f t="shared" si="37"/>
        <v>0</v>
      </c>
      <c r="CU36" s="78">
        <f t="shared" si="37"/>
        <v>0</v>
      </c>
      <c r="CV36" s="78">
        <f t="shared" si="30"/>
        <v>0</v>
      </c>
      <c r="CW36" s="592">
        <v>0</v>
      </c>
      <c r="CX36" s="592">
        <v>0</v>
      </c>
      <c r="CY36" s="592">
        <v>0</v>
      </c>
      <c r="CZ36" s="592">
        <v>0</v>
      </c>
      <c r="DA36" s="592">
        <v>0</v>
      </c>
      <c r="DB36" s="592">
        <v>0</v>
      </c>
      <c r="DC36" s="28"/>
      <c r="DD36" s="315">
        <v>0.36050000000000004</v>
      </c>
      <c r="DE36" s="315">
        <v>0.28200000000000003</v>
      </c>
      <c r="DF36" s="315">
        <v>2.1984999999999997</v>
      </c>
      <c r="DG36" s="315">
        <v>1.4115</v>
      </c>
      <c r="DH36" s="315">
        <v>2.8259999999999996</v>
      </c>
      <c r="DI36" s="315">
        <v>5.8759999999999994</v>
      </c>
      <c r="DJ36" s="315">
        <v>0.60100000000000009</v>
      </c>
      <c r="DK36" s="315">
        <v>1.1954999999999991</v>
      </c>
      <c r="DL36" s="315">
        <v>5.8094999999999999</v>
      </c>
      <c r="DM36" s="315">
        <v>3.7359999999999998</v>
      </c>
      <c r="DN36" s="315">
        <v>0.74549999999999994</v>
      </c>
      <c r="DO36" s="531">
        <v>9.8684999999999992</v>
      </c>
      <c r="DP36" s="1">
        <v>12</v>
      </c>
      <c r="DQ36" s="394">
        <v>5.9209500000000004</v>
      </c>
      <c r="DR36" s="28"/>
      <c r="DS36" s="8">
        <v>7.5</v>
      </c>
      <c r="DT36" s="8">
        <v>0.4</v>
      </c>
      <c r="DU36" s="8">
        <v>44.864999999999995</v>
      </c>
      <c r="DV36" s="8">
        <v>10.923</v>
      </c>
      <c r="DW36" s="8">
        <v>18.174499999999998</v>
      </c>
      <c r="DX36" s="8">
        <v>8.9209999999999994</v>
      </c>
      <c r="DY36" s="8">
        <v>23.142499999999998</v>
      </c>
      <c r="DZ36" s="8">
        <v>28.055</v>
      </c>
      <c r="EA36" s="8">
        <v>5.9949999999999992</v>
      </c>
      <c r="EB36" s="8">
        <v>0.432</v>
      </c>
      <c r="EC36" s="281">
        <v>3.4500000000000003E-2</v>
      </c>
      <c r="ED36" s="395">
        <v>0</v>
      </c>
      <c r="EE36" s="393">
        <v>0</v>
      </c>
      <c r="EF36" s="393">
        <v>4.5</v>
      </c>
      <c r="EH36" s="65"/>
      <c r="EI36" s="249"/>
    </row>
    <row r="37" spans="1:139" s="26" customFormat="1">
      <c r="A37" s="27" t="s">
        <v>58</v>
      </c>
      <c r="B37" s="27"/>
      <c r="C37" s="8">
        <f t="shared" si="9"/>
        <v>48.725499999999997</v>
      </c>
      <c r="D37" s="8">
        <f t="shared" si="10"/>
        <v>182.54</v>
      </c>
      <c r="E37" s="8">
        <f t="shared" si="11"/>
        <v>74.764505</v>
      </c>
      <c r="F37" s="8">
        <f t="shared" si="12"/>
        <v>45.727499999999999</v>
      </c>
      <c r="G37" s="8">
        <f t="shared" si="13"/>
        <v>3045.17</v>
      </c>
      <c r="H37" s="8">
        <f t="shared" si="14"/>
        <v>71.884509999999992</v>
      </c>
      <c r="I37" s="8">
        <f t="shared" si="15"/>
        <v>173.584</v>
      </c>
      <c r="J37" s="8">
        <f t="shared" si="16"/>
        <v>428.82256999999987</v>
      </c>
      <c r="K37" s="8">
        <f t="shared" si="17"/>
        <v>25.685500000000001</v>
      </c>
      <c r="L37" s="8">
        <f t="shared" si="24"/>
        <v>27.114000000000001</v>
      </c>
      <c r="M37" s="8">
        <f t="shared" si="18"/>
        <v>31.741437213485113</v>
      </c>
      <c r="N37" s="8">
        <f t="shared" si="25"/>
        <v>34.858374426970215</v>
      </c>
      <c r="O37" s="8">
        <f t="shared" si="26"/>
        <v>35.779663366221754</v>
      </c>
      <c r="P37" s="8">
        <f t="shared" si="27"/>
        <v>28.782445513465014</v>
      </c>
      <c r="Q37" s="27"/>
      <c r="R37" s="78">
        <f t="shared" si="35"/>
        <v>0</v>
      </c>
      <c r="S37" s="78">
        <f t="shared" si="35"/>
        <v>0</v>
      </c>
      <c r="T37" s="78">
        <f t="shared" si="35"/>
        <v>0</v>
      </c>
      <c r="U37" s="78">
        <f t="shared" si="35"/>
        <v>0</v>
      </c>
      <c r="V37" s="78">
        <f t="shared" si="35"/>
        <v>0</v>
      </c>
      <c r="W37" s="78">
        <f t="shared" si="35"/>
        <v>0</v>
      </c>
      <c r="X37" s="78">
        <f t="shared" si="35"/>
        <v>0</v>
      </c>
      <c r="Y37" s="78">
        <f t="shared" si="31"/>
        <v>0</v>
      </c>
      <c r="Z37" s="592">
        <v>0</v>
      </c>
      <c r="AA37" s="592">
        <v>0</v>
      </c>
      <c r="AB37" s="592">
        <v>0</v>
      </c>
      <c r="AC37" s="592">
        <v>0</v>
      </c>
      <c r="AD37" s="592">
        <v>0</v>
      </c>
      <c r="AE37" s="592">
        <v>0</v>
      </c>
      <c r="AF37" s="27"/>
      <c r="AG37" s="78">
        <f t="shared" si="38"/>
        <v>0</v>
      </c>
      <c r="AH37" s="78">
        <f t="shared" si="38"/>
        <v>0</v>
      </c>
      <c r="AI37" s="78">
        <f t="shared" si="38"/>
        <v>0</v>
      </c>
      <c r="AJ37" s="78">
        <f t="shared" si="38"/>
        <v>0</v>
      </c>
      <c r="AK37" s="8">
        <v>0</v>
      </c>
      <c r="AL37" s="315">
        <v>0</v>
      </c>
      <c r="AM37" s="8">
        <v>0</v>
      </c>
      <c r="AN37" s="315">
        <v>0</v>
      </c>
      <c r="AO37" s="282">
        <v>0</v>
      </c>
      <c r="AP37" s="8">
        <v>0</v>
      </c>
      <c r="AQ37" s="1">
        <v>0</v>
      </c>
      <c r="AR37" s="282">
        <v>4.7539999999999996</v>
      </c>
      <c r="AS37" s="282">
        <v>6.5970000000000004</v>
      </c>
      <c r="AT37" s="282">
        <v>0</v>
      </c>
      <c r="AU37" s="27"/>
      <c r="AV37" s="78">
        <f t="shared" si="36"/>
        <v>0</v>
      </c>
      <c r="AW37" s="78">
        <f t="shared" si="36"/>
        <v>0</v>
      </c>
      <c r="AX37" s="78">
        <f t="shared" si="36"/>
        <v>0</v>
      </c>
      <c r="AY37" s="78">
        <f t="shared" si="36"/>
        <v>0</v>
      </c>
      <c r="AZ37" s="78">
        <f t="shared" si="36"/>
        <v>0</v>
      </c>
      <c r="BA37" s="78">
        <f t="shared" si="36"/>
        <v>0</v>
      </c>
      <c r="BB37" s="78">
        <f t="shared" si="36"/>
        <v>0</v>
      </c>
      <c r="BC37" s="78">
        <f t="shared" si="28"/>
        <v>0</v>
      </c>
      <c r="BD37" s="592">
        <v>0</v>
      </c>
      <c r="BE37" s="592">
        <v>0</v>
      </c>
      <c r="BF37" s="592">
        <v>0</v>
      </c>
      <c r="BG37" s="592">
        <v>0</v>
      </c>
      <c r="BH37" s="592">
        <v>0</v>
      </c>
      <c r="BI37" s="721">
        <v>0</v>
      </c>
      <c r="BJ37" s="27"/>
      <c r="BK37" s="8">
        <v>21.1</v>
      </c>
      <c r="BL37" s="8">
        <v>16.167999999999999</v>
      </c>
      <c r="BM37" s="8">
        <v>46.826999999999998</v>
      </c>
      <c r="BN37" s="8">
        <v>37.645000000000003</v>
      </c>
      <c r="BO37" s="8">
        <v>3036.6860000000001</v>
      </c>
      <c r="BP37" s="8">
        <v>52.448</v>
      </c>
      <c r="BQ37" s="8">
        <v>139.54000000000002</v>
      </c>
      <c r="BR37" s="8">
        <v>418.32799999999992</v>
      </c>
      <c r="BS37" s="407">
        <v>8.2070000000000007</v>
      </c>
      <c r="BT37" s="407">
        <v>19.061</v>
      </c>
      <c r="BU37" s="408">
        <f t="shared" si="29"/>
        <v>19.373437213485111</v>
      </c>
      <c r="BV37" s="601">
        <v>19.685874426970223</v>
      </c>
      <c r="BW37" s="602">
        <v>15.913413366221754</v>
      </c>
      <c r="BX37" s="722">
        <v>22.859495513465014</v>
      </c>
      <c r="BY37" s="27"/>
      <c r="BZ37" s="315">
        <v>17.2</v>
      </c>
      <c r="CA37" s="315">
        <v>0.9</v>
      </c>
      <c r="CB37" s="315">
        <v>21.95</v>
      </c>
      <c r="CC37" s="315">
        <v>0</v>
      </c>
      <c r="CD37" s="315">
        <v>0.75</v>
      </c>
      <c r="CE37" s="315">
        <v>10</v>
      </c>
      <c r="CF37" s="315">
        <v>0</v>
      </c>
      <c r="CG37" s="315">
        <v>0.52</v>
      </c>
      <c r="CH37" s="8">
        <v>0</v>
      </c>
      <c r="CI37" s="8">
        <v>0</v>
      </c>
      <c r="CJ37" s="1">
        <v>0</v>
      </c>
      <c r="CK37" s="1">
        <v>0</v>
      </c>
      <c r="CL37" s="1">
        <v>0</v>
      </c>
      <c r="CM37" s="1">
        <v>0</v>
      </c>
      <c r="CN37" s="27"/>
      <c r="CO37" s="78">
        <f t="shared" si="37"/>
        <v>0</v>
      </c>
      <c r="CP37" s="78">
        <f t="shared" si="37"/>
        <v>0</v>
      </c>
      <c r="CQ37" s="78">
        <f t="shared" si="37"/>
        <v>0</v>
      </c>
      <c r="CR37" s="78">
        <f t="shared" si="37"/>
        <v>0</v>
      </c>
      <c r="CS37" s="78">
        <f t="shared" si="37"/>
        <v>0</v>
      </c>
      <c r="CT37" s="78">
        <f t="shared" si="37"/>
        <v>0</v>
      </c>
      <c r="CU37" s="78">
        <f t="shared" si="37"/>
        <v>0</v>
      </c>
      <c r="CV37" s="78">
        <f t="shared" si="30"/>
        <v>0</v>
      </c>
      <c r="CW37" s="592">
        <v>0</v>
      </c>
      <c r="CX37" s="592">
        <v>0</v>
      </c>
      <c r="CY37" s="592">
        <v>0</v>
      </c>
      <c r="CZ37" s="592">
        <v>0</v>
      </c>
      <c r="DA37" s="592">
        <v>0</v>
      </c>
      <c r="DB37" s="592">
        <v>0</v>
      </c>
      <c r="DC37" s="27"/>
      <c r="DD37" s="315">
        <v>0.36050000000000004</v>
      </c>
      <c r="DE37" s="315">
        <v>0.28200000000000003</v>
      </c>
      <c r="DF37" s="315">
        <v>2.1984999999999997</v>
      </c>
      <c r="DG37" s="315">
        <v>1.4115</v>
      </c>
      <c r="DH37" s="315">
        <v>2.8259999999999996</v>
      </c>
      <c r="DI37" s="315">
        <v>5.8759999999999994</v>
      </c>
      <c r="DJ37" s="315">
        <v>0.60100000000000009</v>
      </c>
      <c r="DK37" s="315">
        <v>1.1954999999999991</v>
      </c>
      <c r="DL37" s="315">
        <v>5.8094999999999999</v>
      </c>
      <c r="DM37" s="315">
        <v>3.7359999999999998</v>
      </c>
      <c r="DN37" s="315">
        <v>0.74549999999999994</v>
      </c>
      <c r="DO37" s="531">
        <v>9.8684999999999992</v>
      </c>
      <c r="DP37" s="1">
        <v>12</v>
      </c>
      <c r="DQ37" s="394">
        <v>5.9209500000000004</v>
      </c>
      <c r="DR37" s="27"/>
      <c r="DS37" s="8">
        <v>10.065000000000001</v>
      </c>
      <c r="DT37" s="8">
        <v>165.19</v>
      </c>
      <c r="DU37" s="8">
        <v>3.789005</v>
      </c>
      <c r="DV37" s="8">
        <v>6.6709999999999994</v>
      </c>
      <c r="DW37" s="8">
        <v>4.9080000000000004</v>
      </c>
      <c r="DX37" s="8">
        <v>3.5605099999999998</v>
      </c>
      <c r="DY37" s="8">
        <v>33.442999999999998</v>
      </c>
      <c r="DZ37" s="8">
        <v>8.7790700000000008</v>
      </c>
      <c r="EA37" s="8">
        <v>11.669</v>
      </c>
      <c r="EB37" s="8">
        <v>4.3170000000000002</v>
      </c>
      <c r="EC37" s="281">
        <v>11.6225</v>
      </c>
      <c r="ED37" s="395">
        <v>0.55000000000000004</v>
      </c>
      <c r="EE37" s="393">
        <v>1.26925</v>
      </c>
      <c r="EF37" s="393">
        <v>2E-3</v>
      </c>
      <c r="EH37" s="65"/>
      <c r="EI37" s="249"/>
    </row>
    <row r="38" spans="1:139" s="26" customFormat="1">
      <c r="A38" s="27" t="s">
        <v>21</v>
      </c>
      <c r="B38" s="28"/>
      <c r="C38" s="8">
        <f t="shared" si="9"/>
        <v>73.063281130772268</v>
      </c>
      <c r="D38" s="8">
        <f t="shared" si="10"/>
        <v>61.3141745494014</v>
      </c>
      <c r="E38" s="8">
        <f t="shared" si="11"/>
        <v>628.99346141955004</v>
      </c>
      <c r="F38" s="8">
        <f t="shared" si="12"/>
        <v>381.90594535258521</v>
      </c>
      <c r="G38" s="8">
        <f t="shared" si="13"/>
        <v>97.213048562689124</v>
      </c>
      <c r="H38" s="8">
        <f t="shared" si="14"/>
        <v>56.034080236153137</v>
      </c>
      <c r="I38" s="8">
        <f t="shared" si="15"/>
        <v>503.32731681686619</v>
      </c>
      <c r="J38" s="8">
        <f t="shared" si="16"/>
        <v>821.55479772398371</v>
      </c>
      <c r="K38" s="8">
        <f t="shared" si="17"/>
        <v>273.791</v>
      </c>
      <c r="L38" s="8">
        <f t="shared" si="24"/>
        <v>519.68999999999994</v>
      </c>
      <c r="M38" s="8">
        <f t="shared" si="18"/>
        <v>492.49535701759731</v>
      </c>
      <c r="N38" s="8">
        <f t="shared" si="25"/>
        <v>466.6097140351946</v>
      </c>
      <c r="O38" s="8">
        <f t="shared" si="26"/>
        <v>476.0919379937244</v>
      </c>
      <c r="P38" s="8">
        <f t="shared" si="27"/>
        <v>483.49123746216026</v>
      </c>
      <c r="Q38" s="28"/>
      <c r="R38" s="78">
        <f t="shared" si="35"/>
        <v>0</v>
      </c>
      <c r="S38" s="78">
        <f t="shared" si="35"/>
        <v>0</v>
      </c>
      <c r="T38" s="78">
        <f t="shared" si="35"/>
        <v>0</v>
      </c>
      <c r="U38" s="78">
        <f t="shared" si="35"/>
        <v>0</v>
      </c>
      <c r="V38" s="78">
        <f t="shared" si="35"/>
        <v>0</v>
      </c>
      <c r="W38" s="78">
        <f t="shared" si="35"/>
        <v>0</v>
      </c>
      <c r="X38" s="78">
        <f t="shared" si="35"/>
        <v>0</v>
      </c>
      <c r="Y38" s="78">
        <f t="shared" si="31"/>
        <v>0</v>
      </c>
      <c r="Z38" s="592">
        <v>0</v>
      </c>
      <c r="AA38" s="592">
        <v>0</v>
      </c>
      <c r="AB38" s="592">
        <v>0</v>
      </c>
      <c r="AC38" s="592">
        <v>0</v>
      </c>
      <c r="AD38" s="592">
        <v>0</v>
      </c>
      <c r="AE38" s="592">
        <v>0</v>
      </c>
      <c r="AF38" s="28"/>
      <c r="AG38" s="78">
        <f t="shared" si="38"/>
        <v>0</v>
      </c>
      <c r="AH38" s="78">
        <f t="shared" si="38"/>
        <v>0</v>
      </c>
      <c r="AI38" s="78">
        <f t="shared" si="38"/>
        <v>0</v>
      </c>
      <c r="AJ38" s="78">
        <f t="shared" si="38"/>
        <v>0</v>
      </c>
      <c r="AK38" s="8">
        <v>0</v>
      </c>
      <c r="AL38" s="315">
        <v>0</v>
      </c>
      <c r="AM38" s="8">
        <v>0</v>
      </c>
      <c r="AN38" s="315">
        <v>0</v>
      </c>
      <c r="AO38" s="282">
        <v>0</v>
      </c>
      <c r="AP38" s="8">
        <v>0</v>
      </c>
      <c r="AQ38" s="1">
        <v>0</v>
      </c>
      <c r="AR38" s="282">
        <v>0</v>
      </c>
      <c r="AS38" s="282">
        <v>0</v>
      </c>
      <c r="AT38" s="282">
        <v>0</v>
      </c>
      <c r="AU38" s="28"/>
      <c r="AV38" s="78">
        <f t="shared" si="36"/>
        <v>0.26028113077226683</v>
      </c>
      <c r="AW38" s="78">
        <f t="shared" si="36"/>
        <v>0.26717454940139457</v>
      </c>
      <c r="AX38" s="78">
        <f t="shared" si="36"/>
        <v>0.2744614195500592</v>
      </c>
      <c r="AY38" s="78">
        <f t="shared" si="36"/>
        <v>0.2809453525851861</v>
      </c>
      <c r="AZ38" s="78">
        <f t="shared" si="36"/>
        <v>0.28404856268911982</v>
      </c>
      <c r="BA38" s="78">
        <f t="shared" si="36"/>
        <v>0.28708023615313771</v>
      </c>
      <c r="BB38" s="78">
        <f t="shared" si="36"/>
        <v>0.29531681686620176</v>
      </c>
      <c r="BC38" s="78">
        <f t="shared" si="28"/>
        <v>0.29979772398368632</v>
      </c>
      <c r="BD38" s="592">
        <v>0</v>
      </c>
      <c r="BE38" s="592">
        <v>1.5</v>
      </c>
      <c r="BF38" s="592">
        <v>0</v>
      </c>
      <c r="BG38" s="592">
        <v>0</v>
      </c>
      <c r="BH38" s="592">
        <v>0</v>
      </c>
      <c r="BI38" s="592">
        <v>0.1</v>
      </c>
      <c r="BJ38" s="28"/>
      <c r="BK38" s="8">
        <v>58.774999999999999</v>
      </c>
      <c r="BL38" s="8">
        <v>60.045000000000002</v>
      </c>
      <c r="BM38" s="8">
        <v>626.42399999999998</v>
      </c>
      <c r="BN38" s="8">
        <v>319.37</v>
      </c>
      <c r="BO38" s="8">
        <v>92.384</v>
      </c>
      <c r="BP38" s="8">
        <v>53.402000000000001</v>
      </c>
      <c r="BQ38" s="8">
        <v>468.34199999999998</v>
      </c>
      <c r="BR38" s="8">
        <v>631.18500000000006</v>
      </c>
      <c r="BS38" s="407">
        <v>151.78</v>
      </c>
      <c r="BT38" s="407">
        <v>451.26199999999994</v>
      </c>
      <c r="BU38" s="408">
        <f t="shared" si="29"/>
        <v>458.93535701759731</v>
      </c>
      <c r="BV38" s="601">
        <v>466.60871403519462</v>
      </c>
      <c r="BW38" s="602">
        <v>475.99993799372442</v>
      </c>
      <c r="BX38" s="722">
        <v>483.38154746216026</v>
      </c>
      <c r="BY38" s="28"/>
      <c r="BZ38" s="315">
        <v>3.54</v>
      </c>
      <c r="CA38" s="315">
        <v>0</v>
      </c>
      <c r="CB38" s="315">
        <v>0.05</v>
      </c>
      <c r="CC38" s="315">
        <v>0.34</v>
      </c>
      <c r="CD38" s="315">
        <v>3.5</v>
      </c>
      <c r="CE38" s="315">
        <v>0</v>
      </c>
      <c r="CF38" s="315">
        <v>33.06</v>
      </c>
      <c r="CG38" s="315">
        <v>2.68</v>
      </c>
      <c r="CH38" s="8">
        <v>3.28</v>
      </c>
      <c r="CI38" s="8">
        <v>1.5004999999999999</v>
      </c>
      <c r="CJ38" s="1">
        <v>0.32</v>
      </c>
      <c r="CK38" s="1">
        <v>0</v>
      </c>
      <c r="CL38" s="1">
        <v>2E-3</v>
      </c>
      <c r="CM38" s="1">
        <v>9.689999999999999E-3</v>
      </c>
      <c r="CN38" s="28"/>
      <c r="CO38" s="78">
        <f t="shared" si="37"/>
        <v>0</v>
      </c>
      <c r="CP38" s="78">
        <f t="shared" si="37"/>
        <v>0</v>
      </c>
      <c r="CQ38" s="78">
        <f t="shared" si="37"/>
        <v>0</v>
      </c>
      <c r="CR38" s="78">
        <f t="shared" si="37"/>
        <v>0</v>
      </c>
      <c r="CS38" s="78">
        <f t="shared" si="37"/>
        <v>0</v>
      </c>
      <c r="CT38" s="78">
        <f t="shared" si="37"/>
        <v>0</v>
      </c>
      <c r="CU38" s="78">
        <f t="shared" si="37"/>
        <v>0</v>
      </c>
      <c r="CV38" s="78">
        <f t="shared" si="30"/>
        <v>0</v>
      </c>
      <c r="CW38" s="592">
        <v>0</v>
      </c>
      <c r="CX38" s="592">
        <v>0</v>
      </c>
      <c r="CY38" s="592">
        <v>0</v>
      </c>
      <c r="CZ38" s="592">
        <v>0</v>
      </c>
      <c r="DA38" s="592">
        <v>0</v>
      </c>
      <c r="DB38" s="592">
        <v>0</v>
      </c>
      <c r="DC38" s="28"/>
      <c r="DD38" s="8">
        <v>0.248</v>
      </c>
      <c r="DE38" s="8">
        <v>0.94200000000000006</v>
      </c>
      <c r="DF38" s="8">
        <v>0.245</v>
      </c>
      <c r="DG38" s="8">
        <v>8</v>
      </c>
      <c r="DH38" s="8">
        <v>0.49299999999999999</v>
      </c>
      <c r="DI38" s="8">
        <v>1.06</v>
      </c>
      <c r="DJ38" s="8">
        <v>0</v>
      </c>
      <c r="DK38" s="8">
        <v>0</v>
      </c>
      <c r="DL38" s="8">
        <v>0</v>
      </c>
      <c r="DM38" s="8">
        <v>9.2799999999999994</v>
      </c>
      <c r="DN38" s="1">
        <v>32.200000000000003</v>
      </c>
      <c r="DO38" s="1">
        <v>1E-3</v>
      </c>
      <c r="DP38" s="1">
        <v>0.09</v>
      </c>
      <c r="DQ38" s="394">
        <v>0</v>
      </c>
      <c r="DR38" s="28"/>
      <c r="DS38" s="8">
        <v>10.24</v>
      </c>
      <c r="DT38" s="8">
        <v>0.06</v>
      </c>
      <c r="DU38" s="8">
        <v>2</v>
      </c>
      <c r="DV38" s="8">
        <v>53.914999999999999</v>
      </c>
      <c r="DW38" s="8">
        <v>0.55200000000000005</v>
      </c>
      <c r="DX38" s="8">
        <v>1.2849999999999999</v>
      </c>
      <c r="DY38" s="8">
        <v>1.63</v>
      </c>
      <c r="DZ38" s="8">
        <v>187.39</v>
      </c>
      <c r="EA38" s="8">
        <v>118.73099999999999</v>
      </c>
      <c r="EB38" s="8">
        <v>56.147500000000001</v>
      </c>
      <c r="EC38" s="281">
        <v>1.04</v>
      </c>
      <c r="ED38" s="395">
        <v>0</v>
      </c>
      <c r="EE38" s="393">
        <v>0</v>
      </c>
      <c r="EF38" s="393">
        <v>0</v>
      </c>
      <c r="EH38" s="65"/>
      <c r="EI38" s="249"/>
    </row>
    <row r="39" spans="1:139" s="26" customFormat="1">
      <c r="A39" s="27" t="s">
        <v>22</v>
      </c>
      <c r="B39" s="28"/>
      <c r="C39" s="8">
        <f t="shared" si="9"/>
        <v>268.51181596189741</v>
      </c>
      <c r="D39" s="8">
        <f t="shared" si="10"/>
        <v>356.33625629071037</v>
      </c>
      <c r="E39" s="8">
        <f t="shared" si="11"/>
        <v>275.34339502379737</v>
      </c>
      <c r="F39" s="8">
        <f t="shared" si="12"/>
        <v>270.55689484030563</v>
      </c>
      <c r="G39" s="8">
        <f t="shared" si="13"/>
        <v>222.86188758455728</v>
      </c>
      <c r="H39" s="8">
        <f t="shared" si="14"/>
        <v>402.23602501780937</v>
      </c>
      <c r="I39" s="8">
        <f t="shared" si="15"/>
        <v>264.38030518267362</v>
      </c>
      <c r="J39" s="8">
        <f t="shared" si="16"/>
        <v>205.40075836500318</v>
      </c>
      <c r="K39" s="8">
        <f t="shared" si="17"/>
        <v>428.85497199999998</v>
      </c>
      <c r="L39" s="8">
        <f t="shared" si="24"/>
        <v>286.28519999999992</v>
      </c>
      <c r="M39" s="8">
        <f t="shared" si="18"/>
        <v>225.74273321595643</v>
      </c>
      <c r="N39" s="8">
        <f t="shared" si="25"/>
        <v>325.65718243191293</v>
      </c>
      <c r="O39" s="8">
        <f t="shared" si="26"/>
        <v>209.23187961514552</v>
      </c>
      <c r="P39" s="8">
        <f t="shared" si="27"/>
        <v>289.91164309327854</v>
      </c>
      <c r="Q39" s="28"/>
      <c r="R39" s="78">
        <f t="shared" si="35"/>
        <v>6.7399534392073454E-2</v>
      </c>
      <c r="S39" s="78">
        <f t="shared" si="35"/>
        <v>6.855379630926757E-2</v>
      </c>
      <c r="T39" s="78">
        <f t="shared" si="35"/>
        <v>6.9933134320754944E-2</v>
      </c>
      <c r="U39" s="78">
        <f t="shared" si="35"/>
        <v>7.1279208874059155E-2</v>
      </c>
      <c r="V39" s="78">
        <f t="shared" si="35"/>
        <v>7.2668306822378723E-2</v>
      </c>
      <c r="W39" s="78">
        <f t="shared" si="35"/>
        <v>7.4055811311623629E-2</v>
      </c>
      <c r="X39" s="78">
        <f t="shared" si="35"/>
        <v>7.5686915856904513E-2</v>
      </c>
      <c r="Y39" s="78">
        <f t="shared" si="31"/>
        <v>7.7026616573910162E-2</v>
      </c>
      <c r="Z39" s="592">
        <v>0</v>
      </c>
      <c r="AA39" s="592">
        <v>0.35599999999999998</v>
      </c>
      <c r="AB39" s="592">
        <v>3.5000000000000003E-2</v>
      </c>
      <c r="AC39" s="592">
        <v>0</v>
      </c>
      <c r="AD39" s="592">
        <v>0</v>
      </c>
      <c r="AE39" s="592">
        <v>0</v>
      </c>
      <c r="AF39" s="28"/>
      <c r="AG39" s="78">
        <f t="shared" si="38"/>
        <v>69.130864640245917</v>
      </c>
      <c r="AH39" s="78">
        <f t="shared" si="38"/>
        <v>70.126056682348505</v>
      </c>
      <c r="AI39" s="78">
        <f t="shared" si="38"/>
        <v>71.327413984125101</v>
      </c>
      <c r="AJ39" s="78">
        <f t="shared" si="38"/>
        <v>72.343285711825985</v>
      </c>
      <c r="AK39" s="8">
        <v>73.141817000000003</v>
      </c>
      <c r="AL39" s="315">
        <v>284.87975000000006</v>
      </c>
      <c r="AM39" s="8">
        <v>121.57309999999998</v>
      </c>
      <c r="AN39" s="315">
        <v>37.512420000000006</v>
      </c>
      <c r="AO39" s="282">
        <v>17.378499999999995</v>
      </c>
      <c r="AP39" s="8">
        <v>8.0344999999999995</v>
      </c>
      <c r="AQ39" s="1">
        <v>71.066999999999993</v>
      </c>
      <c r="AR39" s="282">
        <v>225.46950000000004</v>
      </c>
      <c r="AS39" s="282">
        <v>69.055199999999999</v>
      </c>
      <c r="AT39" s="282">
        <v>67.733999999999995</v>
      </c>
      <c r="AU39" s="28"/>
      <c r="AV39" s="78">
        <f t="shared" si="36"/>
        <v>1.7578519968589661</v>
      </c>
      <c r="AW39" s="78">
        <f t="shared" si="36"/>
        <v>1.8044078484738852</v>
      </c>
      <c r="AX39" s="78">
        <f t="shared" si="36"/>
        <v>1.8536209405012503</v>
      </c>
      <c r="AY39" s="78">
        <f t="shared" si="36"/>
        <v>1.8974112629094857</v>
      </c>
      <c r="AZ39" s="78">
        <f t="shared" si="36"/>
        <v>1.918369309548086</v>
      </c>
      <c r="BA39" s="78">
        <f t="shared" si="36"/>
        <v>1.9388442215662414</v>
      </c>
      <c r="BB39" s="78">
        <f t="shared" si="36"/>
        <v>1.9944713421753719</v>
      </c>
      <c r="BC39" s="78">
        <f t="shared" si="28"/>
        <v>2.0247338952111567</v>
      </c>
      <c r="BD39" s="592">
        <v>0</v>
      </c>
      <c r="BE39" s="592">
        <v>10.130000000000001</v>
      </c>
      <c r="BF39" s="592">
        <v>0</v>
      </c>
      <c r="BG39" s="592">
        <v>0</v>
      </c>
      <c r="BH39" s="592">
        <v>5.0000000000000001E-4</v>
      </c>
      <c r="BI39" s="592">
        <v>2</v>
      </c>
      <c r="BJ39" s="28"/>
      <c r="BK39" s="8">
        <v>37.838999999999999</v>
      </c>
      <c r="BL39" s="8">
        <v>12.472000000000001</v>
      </c>
      <c r="BM39" s="8">
        <v>0.67700000000000005</v>
      </c>
      <c r="BN39" s="8">
        <v>13.051000000000002</v>
      </c>
      <c r="BO39" s="8">
        <v>34.677</v>
      </c>
      <c r="BP39" s="8">
        <v>24.510999999999999</v>
      </c>
      <c r="BQ39" s="8">
        <v>48.08</v>
      </c>
      <c r="BR39" s="8">
        <v>42.037999999999997</v>
      </c>
      <c r="BS39" s="407">
        <v>203.48949999999996</v>
      </c>
      <c r="BT39" s="407">
        <v>49.456999999999994</v>
      </c>
      <c r="BU39" s="408">
        <f t="shared" si="29"/>
        <v>47.271281215956442</v>
      </c>
      <c r="BV39" s="601">
        <v>45.085562431912891</v>
      </c>
      <c r="BW39" s="602">
        <v>48.685399615145514</v>
      </c>
      <c r="BX39" s="722">
        <v>47.647391093278507</v>
      </c>
      <c r="BY39" s="28"/>
      <c r="BZ39" s="315">
        <v>16.34</v>
      </c>
      <c r="CA39" s="315">
        <v>24.25</v>
      </c>
      <c r="CB39" s="315">
        <v>3.08</v>
      </c>
      <c r="CC39" s="315">
        <v>5.66</v>
      </c>
      <c r="CD39" s="315">
        <v>9.2600000000000016</v>
      </c>
      <c r="CE39" s="315">
        <v>3.61</v>
      </c>
      <c r="CF39" s="315">
        <v>5.5</v>
      </c>
      <c r="CG39" s="315">
        <v>5.09</v>
      </c>
      <c r="CH39" s="8">
        <v>59.685972</v>
      </c>
      <c r="CI39" s="8">
        <v>12.387199999999998</v>
      </c>
      <c r="CJ39" s="1">
        <v>14.339452000000001</v>
      </c>
      <c r="CK39" s="1">
        <v>8.3973999999999993</v>
      </c>
      <c r="CL39" s="1">
        <v>10.018889999999999</v>
      </c>
      <c r="CM39" s="1">
        <v>14.395951999999998</v>
      </c>
      <c r="CN39" s="28"/>
      <c r="CO39" s="78">
        <f t="shared" si="37"/>
        <v>7.0776997904004189</v>
      </c>
      <c r="CP39" s="78">
        <f t="shared" si="37"/>
        <v>7.1402379635786719</v>
      </c>
      <c r="CQ39" s="78">
        <f t="shared" si="37"/>
        <v>7.2254269648502687</v>
      </c>
      <c r="CR39" s="78">
        <f t="shared" si="37"/>
        <v>7.2929186566961066</v>
      </c>
      <c r="CS39" s="78">
        <f t="shared" si="37"/>
        <v>7.3470329681867508</v>
      </c>
      <c r="CT39" s="78">
        <f t="shared" si="37"/>
        <v>7.3703749849313853</v>
      </c>
      <c r="CU39" s="78">
        <f t="shared" si="37"/>
        <v>7.3740469246413696</v>
      </c>
      <c r="CV39" s="78">
        <f t="shared" si="30"/>
        <v>7.3905778532180753</v>
      </c>
      <c r="CW39" s="592">
        <v>24.7</v>
      </c>
      <c r="CX39" s="592">
        <v>1.6</v>
      </c>
      <c r="CY39" s="592">
        <v>6.83</v>
      </c>
      <c r="CZ39" s="592">
        <v>2.5</v>
      </c>
      <c r="DA39" s="592">
        <v>1.4</v>
      </c>
      <c r="DB39" s="592">
        <v>0</v>
      </c>
      <c r="DC39" s="28"/>
      <c r="DD39" s="8">
        <v>136.29900000000004</v>
      </c>
      <c r="DE39" s="8">
        <v>240.47500000000002</v>
      </c>
      <c r="DF39" s="8">
        <v>191.11</v>
      </c>
      <c r="DG39" s="8">
        <v>170.24100000000001</v>
      </c>
      <c r="DH39" s="8">
        <v>96.445000000000064</v>
      </c>
      <c r="DI39" s="8">
        <v>79.852000000000018</v>
      </c>
      <c r="DJ39" s="8">
        <v>79.782999999999973</v>
      </c>
      <c r="DK39" s="8">
        <v>111.26800000000001</v>
      </c>
      <c r="DL39" s="8">
        <v>16.094000000000001</v>
      </c>
      <c r="DM39" s="8">
        <v>42.870999999999974</v>
      </c>
      <c r="DN39" s="1">
        <v>38.60799999999999</v>
      </c>
      <c r="DO39" s="1">
        <v>38.036000000000001</v>
      </c>
      <c r="DP39" s="1">
        <v>62.833890000000004</v>
      </c>
      <c r="DQ39" s="394">
        <v>153.45150000000004</v>
      </c>
      <c r="DR39" s="28"/>
      <c r="DS39" s="8">
        <v>0</v>
      </c>
      <c r="DT39" s="8">
        <v>0</v>
      </c>
      <c r="DU39" s="8">
        <v>0</v>
      </c>
      <c r="DV39" s="8">
        <v>0</v>
      </c>
      <c r="DW39" s="8">
        <v>0</v>
      </c>
      <c r="DX39" s="8">
        <v>0</v>
      </c>
      <c r="DY39" s="8">
        <v>0</v>
      </c>
      <c r="DZ39" s="8">
        <v>0</v>
      </c>
      <c r="EA39" s="8">
        <v>107.50699999999999</v>
      </c>
      <c r="EB39" s="8">
        <v>161.4495</v>
      </c>
      <c r="EC39" s="281">
        <v>47.591999999999985</v>
      </c>
      <c r="ED39" s="395">
        <v>6.1687200000000004</v>
      </c>
      <c r="EE39" s="393">
        <v>17.238</v>
      </c>
      <c r="EF39" s="393">
        <v>4.6828000000000003</v>
      </c>
      <c r="EH39" s="65"/>
      <c r="EI39" s="249"/>
    </row>
    <row r="40" spans="1:139" s="26" customFormat="1">
      <c r="A40" s="27" t="s">
        <v>23</v>
      </c>
      <c r="B40" s="27"/>
      <c r="C40" s="8">
        <f t="shared" si="9"/>
        <v>39058.362700366233</v>
      </c>
      <c r="D40" s="8">
        <f t="shared" si="10"/>
        <v>30451.241077238152</v>
      </c>
      <c r="E40" s="8">
        <f t="shared" si="11"/>
        <v>41294.969579664728</v>
      </c>
      <c r="F40" s="8">
        <f t="shared" si="12"/>
        <v>53991.588095096406</v>
      </c>
      <c r="G40" s="8">
        <f t="shared" si="13"/>
        <v>50509.512803375677</v>
      </c>
      <c r="H40" s="8">
        <f t="shared" si="14"/>
        <v>53060.037155490376</v>
      </c>
      <c r="I40" s="8">
        <f t="shared" si="15"/>
        <v>58910.279080015185</v>
      </c>
      <c r="J40" s="8">
        <f t="shared" si="16"/>
        <v>52703.130702728413</v>
      </c>
      <c r="K40" s="8">
        <f t="shared" si="17"/>
        <v>53374.148919727071</v>
      </c>
      <c r="L40" s="8">
        <f t="shared" si="24"/>
        <v>54350.475754499996</v>
      </c>
      <c r="M40" s="8">
        <f t="shared" si="18"/>
        <v>99279.61842293496</v>
      </c>
      <c r="N40" s="8">
        <f t="shared" si="25"/>
        <v>213487.97399608471</v>
      </c>
      <c r="O40" s="8">
        <f t="shared" si="26"/>
        <v>231463.0333338448</v>
      </c>
      <c r="P40" s="8">
        <f t="shared" si="27"/>
        <v>253744.18781874297</v>
      </c>
      <c r="Q40" s="27"/>
      <c r="R40" s="78">
        <f t="shared" ref="R40:X49" si="39">S40*R$8/S$8</f>
        <v>49.659494283567454</v>
      </c>
      <c r="S40" s="78">
        <f t="shared" si="39"/>
        <v>50.509946198341844</v>
      </c>
      <c r="T40" s="78">
        <f t="shared" si="39"/>
        <v>51.526232567593375</v>
      </c>
      <c r="U40" s="78">
        <f t="shared" si="39"/>
        <v>52.518010659059357</v>
      </c>
      <c r="V40" s="78">
        <f t="shared" si="39"/>
        <v>53.541488079876721</v>
      </c>
      <c r="W40" s="78">
        <f t="shared" si="39"/>
        <v>54.56379145145884</v>
      </c>
      <c r="X40" s="78">
        <f t="shared" si="39"/>
        <v>55.765577599877737</v>
      </c>
      <c r="Y40" s="78">
        <f t="shared" si="31"/>
        <v>56.752659494402771</v>
      </c>
      <c r="Z40" s="592">
        <v>201.54</v>
      </c>
      <c r="AA40" s="592">
        <v>45.308999999999997</v>
      </c>
      <c r="AB40" s="592">
        <v>18.486999999999998</v>
      </c>
      <c r="AC40" s="592">
        <v>9.1529999999999987</v>
      </c>
      <c r="AD40" s="592">
        <v>13.597</v>
      </c>
      <c r="AE40" s="592">
        <v>144.3785</v>
      </c>
      <c r="AF40" s="27"/>
      <c r="AG40" s="320">
        <f>('Basel data'!F281+'Basel data'!F235)/2-SUM('NEPM data'!H267:M267)</f>
        <v>14672.658602272728</v>
      </c>
      <c r="AH40" s="320">
        <f>('Basel data'!F235+'Basel data'!G189)/2-SUM('NEPM data'!H252:M252)</f>
        <v>5363.6049999999996</v>
      </c>
      <c r="AI40" s="320">
        <f>('Basel data'!F189+'Basel data'!F143)/2-SUM('NEPM data'!H237:M237)</f>
        <v>15630.114624000002</v>
      </c>
      <c r="AJ40" s="320">
        <f>('Basel data'!F143+'Basel data'!F97)/2-SUM('NEPM data'!H222:M222)</f>
        <v>16570.202799999999</v>
      </c>
      <c r="AK40" s="313">
        <f>13255.3988805-SUM('NEPM data'!H207:M207)</f>
        <v>11627.388880500001</v>
      </c>
      <c r="AL40" s="317">
        <f>17226.910015-SUM('NEPM data'!H192:M192)</f>
        <v>13449.910015000001</v>
      </c>
      <c r="AM40" s="313">
        <f>16170.0269546999-'NEPM data'!H177-'NEPM data'!I177-'NEPM data'!J177-'NEPM data'!K177-'NEPM data'!M177</f>
        <v>13329.076954699898</v>
      </c>
      <c r="AN40" s="317">
        <f>15767-1225-449-154</f>
        <v>13939</v>
      </c>
      <c r="AO40" s="282">
        <v>4496.3177309999974</v>
      </c>
      <c r="AP40" s="313">
        <f>9725-1587</f>
        <v>8138</v>
      </c>
      <c r="AQ40" s="1">
        <v>8645.3662520912185</v>
      </c>
      <c r="AR40" s="282">
        <v>12197.84707134772</v>
      </c>
      <c r="AS40" s="282">
        <v>11545.094120899994</v>
      </c>
      <c r="AT40" s="282">
        <v>9845.4709559999956</v>
      </c>
      <c r="AU40" s="27"/>
      <c r="AV40" s="78">
        <f t="shared" ref="AV40:BB49" si="40">AW40*AV$8/AW$8</f>
        <v>166.36389035570974</v>
      </c>
      <c r="AW40" s="78">
        <f t="shared" si="40"/>
        <v>170.76995674088934</v>
      </c>
      <c r="AX40" s="78">
        <f t="shared" si="40"/>
        <v>175.42750553381131</v>
      </c>
      <c r="AY40" s="78">
        <f t="shared" si="40"/>
        <v>179.5718410118734</v>
      </c>
      <c r="AZ40" s="78">
        <f t="shared" si="40"/>
        <v>181.55531981400472</v>
      </c>
      <c r="BA40" s="78">
        <f t="shared" si="40"/>
        <v>183.49307454200101</v>
      </c>
      <c r="BB40" s="78">
        <f t="shared" si="40"/>
        <v>188.75764983637021</v>
      </c>
      <c r="BC40" s="78">
        <f t="shared" si="28"/>
        <v>191.62171123865281</v>
      </c>
      <c r="BD40" s="592">
        <v>42.890999999999998</v>
      </c>
      <c r="BE40" s="592">
        <v>38.359000000000002</v>
      </c>
      <c r="BF40" s="592">
        <v>194</v>
      </c>
      <c r="BG40" s="592">
        <v>392.995</v>
      </c>
      <c r="BH40" s="592">
        <v>290.51</v>
      </c>
      <c r="BI40" s="592">
        <v>372.4</v>
      </c>
      <c r="BJ40" s="27"/>
      <c r="BK40" s="8">
        <v>8073.201</v>
      </c>
      <c r="BL40" s="8">
        <v>10162.944</v>
      </c>
      <c r="BM40" s="8">
        <v>9253.3339999999989</v>
      </c>
      <c r="BN40" s="8">
        <v>10424.589</v>
      </c>
      <c r="BO40" s="8">
        <v>11880.213</v>
      </c>
      <c r="BP40" s="8">
        <v>12201.258</v>
      </c>
      <c r="BQ40" s="8">
        <v>10412.624</v>
      </c>
      <c r="BR40" s="8">
        <v>12851.678500000129</v>
      </c>
      <c r="BS40" s="407">
        <v>25646.561110000002</v>
      </c>
      <c r="BT40" s="407">
        <v>10392.179099999998</v>
      </c>
      <c r="BU40" s="408">
        <f t="shared" si="29"/>
        <v>10778.8845302997</v>
      </c>
      <c r="BV40" s="601">
        <v>11165.5899605994</v>
      </c>
      <c r="BW40" s="602">
        <v>13062.006914944879</v>
      </c>
      <c r="BX40" s="722">
        <v>12766.154993242768</v>
      </c>
      <c r="BY40" s="27"/>
      <c r="BZ40" s="315">
        <v>2300.9299999999998</v>
      </c>
      <c r="CA40" s="315">
        <v>2556.1900000000005</v>
      </c>
      <c r="CB40" s="315">
        <v>2365.58</v>
      </c>
      <c r="CC40" s="315">
        <v>3454.89</v>
      </c>
      <c r="CD40" s="315">
        <v>3798.15</v>
      </c>
      <c r="CE40" s="315">
        <v>4120</v>
      </c>
      <c r="CF40" s="315">
        <v>5067.01</v>
      </c>
      <c r="CG40" s="315">
        <v>2221.98</v>
      </c>
      <c r="CH40" s="8">
        <v>2636.4362747270884</v>
      </c>
      <c r="CI40" s="8">
        <v>3805.8367845000002</v>
      </c>
      <c r="CJ40" s="1">
        <v>2729.6191684999967</v>
      </c>
      <c r="CK40" s="1">
        <v>3055.863331699999</v>
      </c>
      <c r="CL40" s="1">
        <v>1378.314836</v>
      </c>
      <c r="CM40" s="1">
        <v>1747.9207244999998</v>
      </c>
      <c r="CN40" s="27"/>
      <c r="CO40" s="78">
        <f t="shared" ref="CO40:CU49" si="41">CP40*CO$8/CP$8</f>
        <v>28.897963454232237</v>
      </c>
      <c r="CP40" s="78">
        <f t="shared" si="41"/>
        <v>29.153304298930227</v>
      </c>
      <c r="CQ40" s="78">
        <f t="shared" si="41"/>
        <v>29.501127563317354</v>
      </c>
      <c r="CR40" s="78">
        <f t="shared" si="41"/>
        <v>29.776693425417161</v>
      </c>
      <c r="CS40" s="78">
        <f t="shared" si="41"/>
        <v>29.997639981801001</v>
      </c>
      <c r="CT40" s="78">
        <f t="shared" si="41"/>
        <v>30.092944496941559</v>
      </c>
      <c r="CU40" s="78">
        <f t="shared" si="41"/>
        <v>30.107936879027218</v>
      </c>
      <c r="CV40" s="78">
        <f t="shared" si="30"/>
        <v>30.175431995240267</v>
      </c>
      <c r="CW40" s="592">
        <v>23.524000000000001</v>
      </c>
      <c r="CX40" s="592">
        <v>3.4729999999999999</v>
      </c>
      <c r="CY40" s="592">
        <v>12.138</v>
      </c>
      <c r="CZ40" s="592">
        <v>56.993000000000002</v>
      </c>
      <c r="DA40" s="592">
        <v>55.064</v>
      </c>
      <c r="DB40" s="592">
        <v>16</v>
      </c>
      <c r="DC40" s="27"/>
      <c r="DD40" s="8">
        <v>12210.494999999992</v>
      </c>
      <c r="DE40" s="8">
        <v>11425.635999999993</v>
      </c>
      <c r="DF40" s="8">
        <v>13003.161000000004</v>
      </c>
      <c r="DG40" s="8">
        <v>22575.896000000052</v>
      </c>
      <c r="DH40" s="8">
        <v>21567.177999999996</v>
      </c>
      <c r="DI40" s="8">
        <v>21543.828999999976</v>
      </c>
      <c r="DJ40" s="8">
        <v>27356.144000000008</v>
      </c>
      <c r="DK40" s="8">
        <v>21418.191999999988</v>
      </c>
      <c r="DL40" s="8">
        <v>14394.144499999991</v>
      </c>
      <c r="DM40" s="313">
        <f>25024.014+1587</f>
        <v>26611.013999999999</v>
      </c>
      <c r="DN40" s="1">
        <v>21240.01495954737</v>
      </c>
      <c r="DO40" s="1">
        <v>18354.76396943755</v>
      </c>
      <c r="DP40" s="1">
        <v>38602.508861999995</v>
      </c>
      <c r="DQ40" s="394">
        <v>49678.097330000041</v>
      </c>
      <c r="DR40" s="27"/>
      <c r="DS40" s="8">
        <v>1556.1567499999999</v>
      </c>
      <c r="DT40" s="8">
        <v>692.43287000000009</v>
      </c>
      <c r="DU40" s="8">
        <v>786.32509000000005</v>
      </c>
      <c r="DV40" s="8">
        <v>704.14375000000007</v>
      </c>
      <c r="DW40" s="8">
        <v>1371.4884750000001</v>
      </c>
      <c r="DX40" s="8">
        <v>1476.8903299999999</v>
      </c>
      <c r="DY40" s="8">
        <v>2470.7929610000001</v>
      </c>
      <c r="DZ40" s="8">
        <v>1993.7304000000001</v>
      </c>
      <c r="EA40" s="8">
        <v>5932.7343039999996</v>
      </c>
      <c r="EB40" s="8">
        <v>5316.3048699999999</v>
      </c>
      <c r="EC40" s="281">
        <v>55661.10851249667</v>
      </c>
      <c r="ED40" s="395">
        <v>168254.76866300002</v>
      </c>
      <c r="EE40" s="393">
        <v>166515.93759999992</v>
      </c>
      <c r="EF40" s="393">
        <v>179173.76531500017</v>
      </c>
      <c r="EH40" s="65"/>
      <c r="EI40" s="249"/>
    </row>
    <row r="41" spans="1:139" s="26" customFormat="1">
      <c r="A41" s="27" t="s">
        <v>59</v>
      </c>
      <c r="B41" s="28"/>
      <c r="C41" s="8">
        <f t="shared" si="9"/>
        <v>11950.935725605104</v>
      </c>
      <c r="D41" s="8">
        <f t="shared" si="10"/>
        <v>9199.3256217672661</v>
      </c>
      <c r="E41" s="8">
        <f t="shared" si="11"/>
        <v>10245.67300420028</v>
      </c>
      <c r="F41" s="8">
        <f t="shared" si="12"/>
        <v>10418.119824118772</v>
      </c>
      <c r="G41" s="8">
        <f t="shared" si="13"/>
        <v>9875.9391002676512</v>
      </c>
      <c r="H41" s="8">
        <f t="shared" si="14"/>
        <v>10387.94509761782</v>
      </c>
      <c r="I41" s="8">
        <f t="shared" si="15"/>
        <v>13600.766325814866</v>
      </c>
      <c r="J41" s="8">
        <f t="shared" si="16"/>
        <v>9610.7120918995897</v>
      </c>
      <c r="K41" s="8">
        <f t="shared" si="17"/>
        <v>6439.4720851197026</v>
      </c>
      <c r="L41" s="8">
        <f t="shared" si="24"/>
        <v>6569.1119309999976</v>
      </c>
      <c r="M41" s="8">
        <f t="shared" si="18"/>
        <v>7941.5571420790284</v>
      </c>
      <c r="N41" s="8">
        <f t="shared" si="25"/>
        <v>6068.262161252168</v>
      </c>
      <c r="O41" s="8">
        <f t="shared" si="26"/>
        <v>8461.8036400165147</v>
      </c>
      <c r="P41" s="8">
        <f t="shared" si="27"/>
        <v>13849.792460864557</v>
      </c>
      <c r="Q41" s="28"/>
      <c r="R41" s="78">
        <f t="shared" si="39"/>
        <v>1.7232561261318626</v>
      </c>
      <c r="S41" s="78">
        <f t="shared" si="39"/>
        <v>1.7527680350479486</v>
      </c>
      <c r="T41" s="78">
        <f t="shared" si="39"/>
        <v>1.7880346388864123</v>
      </c>
      <c r="U41" s="78">
        <f t="shared" si="39"/>
        <v>1.8224507701124537</v>
      </c>
      <c r="V41" s="78">
        <f t="shared" si="39"/>
        <v>1.857966913819233</v>
      </c>
      <c r="W41" s="78">
        <f t="shared" si="39"/>
        <v>1.8934423163230216</v>
      </c>
      <c r="X41" s="78">
        <f t="shared" si="39"/>
        <v>1.93514603023395</v>
      </c>
      <c r="Y41" s="78">
        <f t="shared" si="31"/>
        <v>1.9693991966480304</v>
      </c>
      <c r="Z41" s="592">
        <v>7.0260000000000007</v>
      </c>
      <c r="AA41" s="592">
        <v>0.875</v>
      </c>
      <c r="AB41" s="592">
        <v>1.1579999999999999</v>
      </c>
      <c r="AC41" s="592">
        <v>0.93800000000000006</v>
      </c>
      <c r="AD41" s="592">
        <v>0</v>
      </c>
      <c r="AE41" s="592">
        <v>0</v>
      </c>
      <c r="AF41" s="28"/>
      <c r="AG41" s="73">
        <f>('Basel data'!F282+'Basel data'!F236)/2</f>
        <v>2443.1359886363634</v>
      </c>
      <c r="AH41" s="73">
        <f>('Basel data'!F236+'Basel data'!G190)/2</f>
        <v>641.38</v>
      </c>
      <c r="AI41" s="73">
        <f>('Basel data'!F190+'Basel data'!F144)/2</f>
        <v>1868.4019794999999</v>
      </c>
      <c r="AJ41" s="73">
        <f>('Basel data'!F144+'Basel data'!F98)/2</f>
        <v>2506.00585</v>
      </c>
      <c r="AK41" s="8">
        <v>2167.1537000000003</v>
      </c>
      <c r="AL41" s="315">
        <v>3380.0069349999999</v>
      </c>
      <c r="AM41" s="8">
        <v>7367.3009750000019</v>
      </c>
      <c r="AN41" s="315">
        <v>2637.1539840000005</v>
      </c>
      <c r="AO41" s="282">
        <v>797.5769419999998</v>
      </c>
      <c r="AP41" s="8">
        <v>1390.5854524999968</v>
      </c>
      <c r="AQ41" s="1">
        <v>2555.543529999999</v>
      </c>
      <c r="AR41" s="282">
        <v>2757.1385426238157</v>
      </c>
      <c r="AS41" s="282">
        <v>2016.8876999999986</v>
      </c>
      <c r="AT41" s="282">
        <v>1930.430908999999</v>
      </c>
      <c r="AU41" s="28"/>
      <c r="AV41" s="78">
        <f t="shared" si="40"/>
        <v>357.79805922740434</v>
      </c>
      <c r="AW41" s="78">
        <f t="shared" si="40"/>
        <v>367.27416608012106</v>
      </c>
      <c r="AX41" s="78">
        <f t="shared" si="40"/>
        <v>377.29113499868441</v>
      </c>
      <c r="AY41" s="78">
        <f t="shared" si="40"/>
        <v>386.20433838475202</v>
      </c>
      <c r="AZ41" s="78">
        <f t="shared" si="40"/>
        <v>390.4701971862255</v>
      </c>
      <c r="BA41" s="78">
        <f t="shared" si="40"/>
        <v>394.63771743027235</v>
      </c>
      <c r="BB41" s="78">
        <f t="shared" si="40"/>
        <v>405.96021547329303</v>
      </c>
      <c r="BC41" s="78">
        <f t="shared" si="28"/>
        <v>412.11993925141434</v>
      </c>
      <c r="BD41" s="592">
        <v>2</v>
      </c>
      <c r="BE41" s="592">
        <v>0.11</v>
      </c>
      <c r="BF41" s="592">
        <v>35</v>
      </c>
      <c r="BG41" s="592">
        <v>0</v>
      </c>
      <c r="BH41" s="592">
        <v>2024.88</v>
      </c>
      <c r="BI41" s="592">
        <v>16</v>
      </c>
      <c r="BJ41" s="28"/>
      <c r="BK41" s="281">
        <v>1131.4279999999999</v>
      </c>
      <c r="BL41" s="281">
        <v>1238.327</v>
      </c>
      <c r="BM41" s="281">
        <v>2446.0140000000001</v>
      </c>
      <c r="BN41" s="281">
        <v>2199.4560000000001</v>
      </c>
      <c r="BO41" s="281">
        <v>1324.1909999999998</v>
      </c>
      <c r="BP41" s="281">
        <v>1563.694</v>
      </c>
      <c r="BQ41" s="281">
        <v>1014.65</v>
      </c>
      <c r="BR41" s="281">
        <v>1553.2943999999998</v>
      </c>
      <c r="BS41" s="407">
        <v>822.36390000000006</v>
      </c>
      <c r="BT41" s="407">
        <v>1183.2010000000002</v>
      </c>
      <c r="BU41" s="408">
        <f t="shared" si="29"/>
        <v>1435.811536314176</v>
      </c>
      <c r="BV41" s="601">
        <v>1688.422072628352</v>
      </c>
      <c r="BW41" s="602">
        <v>1987.1223620165154</v>
      </c>
      <c r="BX41" s="722">
        <v>2265.9290165645593</v>
      </c>
      <c r="BY41" s="28"/>
      <c r="BZ41" s="315">
        <v>480.87</v>
      </c>
      <c r="CA41" s="315">
        <v>559.20000000000005</v>
      </c>
      <c r="CB41" s="315">
        <v>274.89</v>
      </c>
      <c r="CC41" s="315">
        <v>449.13</v>
      </c>
      <c r="CD41" s="315">
        <v>462.74</v>
      </c>
      <c r="CE41" s="315">
        <v>516.72</v>
      </c>
      <c r="CF41" s="315">
        <v>340.15</v>
      </c>
      <c r="CG41" s="315">
        <v>674.62</v>
      </c>
      <c r="CH41" s="8">
        <v>787.27044811970291</v>
      </c>
      <c r="CI41" s="8">
        <v>980.33480050000003</v>
      </c>
      <c r="CJ41" s="1">
        <v>201.576142</v>
      </c>
      <c r="CK41" s="1">
        <v>208.84106600000004</v>
      </c>
      <c r="CL41" s="1">
        <v>112.05077799999998</v>
      </c>
      <c r="CM41" s="1">
        <v>244.42781530000002</v>
      </c>
      <c r="CN41" s="28"/>
      <c r="CO41" s="78">
        <f t="shared" si="41"/>
        <v>1.6315216152000527</v>
      </c>
      <c r="CP41" s="78">
        <f t="shared" si="41"/>
        <v>1.6459376520958013</v>
      </c>
      <c r="CQ41" s="78">
        <f t="shared" si="41"/>
        <v>1.6655750627048846</v>
      </c>
      <c r="CR41" s="78">
        <f t="shared" si="41"/>
        <v>1.6811329639092074</v>
      </c>
      <c r="CS41" s="78">
        <f t="shared" si="41"/>
        <v>1.6936071676057816</v>
      </c>
      <c r="CT41" s="78">
        <f t="shared" si="41"/>
        <v>1.6989878712226383</v>
      </c>
      <c r="CU41" s="78">
        <f t="shared" si="41"/>
        <v>1.6998343113350991</v>
      </c>
      <c r="CV41" s="78">
        <f t="shared" si="30"/>
        <v>1.7036449515276659</v>
      </c>
      <c r="CW41" s="592">
        <v>0</v>
      </c>
      <c r="CX41" s="592">
        <v>0</v>
      </c>
      <c r="CY41" s="592">
        <v>0</v>
      </c>
      <c r="CZ41" s="592">
        <v>8.5359999999999996</v>
      </c>
      <c r="DA41" s="592">
        <v>0</v>
      </c>
      <c r="DB41" s="592">
        <v>0</v>
      </c>
      <c r="DC41" s="28"/>
      <c r="DD41" s="8">
        <v>5737.8000000000056</v>
      </c>
      <c r="DE41" s="8">
        <v>5114.5890000000018</v>
      </c>
      <c r="DF41" s="8">
        <v>4422.3870000000034</v>
      </c>
      <c r="DG41" s="8">
        <v>4078.6789999999969</v>
      </c>
      <c r="DH41" s="8">
        <v>4822.1130000000012</v>
      </c>
      <c r="DI41" s="8">
        <v>3794.9159999999997</v>
      </c>
      <c r="DJ41" s="8">
        <v>2794.9410000000016</v>
      </c>
      <c r="DK41" s="8">
        <v>2119.1169999999993</v>
      </c>
      <c r="DL41" s="8">
        <v>1603.6774999999998</v>
      </c>
      <c r="DM41" s="8">
        <v>1711.92</v>
      </c>
      <c r="DN41" s="1">
        <v>2802.7839501067256</v>
      </c>
      <c r="DO41" s="1">
        <v>1125.94535</v>
      </c>
      <c r="DP41" s="1">
        <v>2163.0496849999995</v>
      </c>
      <c r="DQ41" s="394">
        <v>9142.6562199999989</v>
      </c>
      <c r="DR41" s="28"/>
      <c r="DS41" s="8">
        <v>1796.5489</v>
      </c>
      <c r="DT41" s="8">
        <v>1275.1567499999999</v>
      </c>
      <c r="DU41" s="8">
        <v>853.23527999999999</v>
      </c>
      <c r="DV41" s="8">
        <v>795.14105200000006</v>
      </c>
      <c r="DW41" s="8">
        <v>705.71962900000005</v>
      </c>
      <c r="DX41" s="8">
        <v>734.378015</v>
      </c>
      <c r="DY41" s="8">
        <v>1674.1291549999999</v>
      </c>
      <c r="DZ41" s="8">
        <v>2210.7337244999999</v>
      </c>
      <c r="EA41" s="8">
        <v>2419.5572950000001</v>
      </c>
      <c r="EB41" s="8">
        <v>1302.0856779999999</v>
      </c>
      <c r="EC41" s="281">
        <v>909.68398365812743</v>
      </c>
      <c r="ED41" s="395">
        <v>278.44112999999999</v>
      </c>
      <c r="EE41" s="393">
        <v>157.81311500000004</v>
      </c>
      <c r="EF41" s="393">
        <v>250.3485</v>
      </c>
      <c r="EH41" s="65"/>
      <c r="EI41" s="249"/>
    </row>
    <row r="42" spans="1:139" s="26" customFormat="1">
      <c r="A42" s="27" t="s">
        <v>24</v>
      </c>
      <c r="B42" s="28"/>
      <c r="C42" s="8">
        <f t="shared" ref="C42:C74" si="42">SUM(R42,AG42,AV42,BK42,BZ42,CO42,DD42,DS42)</f>
        <v>78.897184228456524</v>
      </c>
      <c r="D42" s="8">
        <f t="shared" ref="D42:D74" si="43">SUM(S42,AH42,AW42,BL42,CA42,CP42,DE42,DT42)</f>
        <v>155.90132707596064</v>
      </c>
      <c r="E42" s="8">
        <f t="shared" ref="E42:E74" si="44">SUM(T42,AI42,AX42,BM42,CB42,CQ42,DF42,DU42)</f>
        <v>287.31806184259165</v>
      </c>
      <c r="F42" s="8">
        <f t="shared" ref="F42:F74" si="45">SUM(U42,AJ42,AY42,BN42,CC42,CR42,DG42,DV42)</f>
        <v>1424.7445948690772</v>
      </c>
      <c r="G42" s="8">
        <f t="shared" ref="G42:G74" si="46">SUM(V42,AK42,AZ42,BO42,CD42,CS42,DH42,DW42)</f>
        <v>1818.3981567009507</v>
      </c>
      <c r="H42" s="8">
        <f t="shared" ref="H42:H74" si="47">SUM(W42,AL42,BA42,BP42,CE42,CT42,DI42,DX42)</f>
        <v>1951.323039278222</v>
      </c>
      <c r="I42" s="8">
        <f t="shared" ref="I42:I74" si="48">SUM(X42,AM42,BB42,BQ42,CF42,CU42,DJ42,DY42)</f>
        <v>2004.5667263883061</v>
      </c>
      <c r="J42" s="8">
        <f t="shared" ref="J42:J74" si="49">SUM(Y42,AN42,BC42,BR42,CG42,CV42,DK42,DZ42)</f>
        <v>1418.2852929333274</v>
      </c>
      <c r="K42" s="8">
        <f t="shared" ref="K42:K74" si="50">SUM(Z42,AO42,BD42,BS42,CH42,CW42,DL42,EA42)</f>
        <v>1056.8557309999999</v>
      </c>
      <c r="L42" s="8">
        <f t="shared" ref="L42:L65" si="51">SUM(AA42,AP42,BE42,BT42,CI42,CX42,DM42,EB42)</f>
        <v>2243.9917</v>
      </c>
      <c r="M42" s="8">
        <f t="shared" ref="M42:M83" si="52">SUM(AB42,AQ42,BF42,BU42,CJ42,CY42,DN42,EC42)</f>
        <v>1245.0516894945117</v>
      </c>
      <c r="N42" s="8">
        <f t="shared" si="25"/>
        <v>912.7719625634561</v>
      </c>
      <c r="O42" s="8">
        <f t="shared" si="26"/>
        <v>2253.4866114999995</v>
      </c>
      <c r="P42" s="8">
        <f t="shared" si="27"/>
        <v>1730.3440149999992</v>
      </c>
      <c r="Q42" s="28"/>
      <c r="R42" s="78">
        <f t="shared" si="39"/>
        <v>0</v>
      </c>
      <c r="S42" s="78">
        <f t="shared" si="39"/>
        <v>0</v>
      </c>
      <c r="T42" s="78">
        <f t="shared" si="39"/>
        <v>0</v>
      </c>
      <c r="U42" s="78">
        <f t="shared" si="39"/>
        <v>0</v>
      </c>
      <c r="V42" s="78">
        <f t="shared" si="39"/>
        <v>0</v>
      </c>
      <c r="W42" s="78">
        <f t="shared" si="39"/>
        <v>0</v>
      </c>
      <c r="X42" s="78">
        <f t="shared" si="39"/>
        <v>0</v>
      </c>
      <c r="Y42" s="78">
        <f t="shared" si="31"/>
        <v>0</v>
      </c>
      <c r="Z42" s="592">
        <v>0</v>
      </c>
      <c r="AA42" s="592">
        <v>0</v>
      </c>
      <c r="AB42" s="592">
        <v>0</v>
      </c>
      <c r="AC42" s="592">
        <v>0</v>
      </c>
      <c r="AD42" s="592">
        <v>0</v>
      </c>
      <c r="AE42" s="592">
        <v>0</v>
      </c>
      <c r="AF42" s="28"/>
      <c r="AG42" s="73">
        <f>('Basel data'!F309+'Basel data'!F263)/2</f>
        <v>0</v>
      </c>
      <c r="AH42" s="73">
        <f>('Basel data'!F263+'Basel data'!F217)/2</f>
        <v>3.5148000000000001</v>
      </c>
      <c r="AI42" s="73">
        <f>('Basel data'!F217+'Basel data'!F171)/2</f>
        <v>4.5853999999999999</v>
      </c>
      <c r="AJ42" s="73">
        <f>('Basel data'!F171+0)/2</f>
        <v>1.0706</v>
      </c>
      <c r="AK42" s="8">
        <v>0</v>
      </c>
      <c r="AL42" s="315">
        <v>0</v>
      </c>
      <c r="AM42" s="8">
        <v>0</v>
      </c>
      <c r="AN42" s="315">
        <v>0</v>
      </c>
      <c r="AO42" s="282">
        <v>0</v>
      </c>
      <c r="AP42" s="8">
        <v>0</v>
      </c>
      <c r="AQ42" s="1">
        <v>1.5915999999999999</v>
      </c>
      <c r="AR42" s="282">
        <v>89.225999999999999</v>
      </c>
      <c r="AS42" s="282">
        <v>3.6295999999999999</v>
      </c>
      <c r="AT42" s="282">
        <v>7.4860000000000007</v>
      </c>
      <c r="AU42" s="28"/>
      <c r="AV42" s="78">
        <f t="shared" si="40"/>
        <v>0.50841580877516124</v>
      </c>
      <c r="AW42" s="78">
        <f t="shared" si="40"/>
        <v>0.52188095316405747</v>
      </c>
      <c r="AX42" s="78">
        <f t="shared" si="40"/>
        <v>0.53611463952111571</v>
      </c>
      <c r="AY42" s="78">
        <f t="shared" si="40"/>
        <v>0.54877992204973036</v>
      </c>
      <c r="AZ42" s="78">
        <f t="shared" si="40"/>
        <v>0.55484152578608092</v>
      </c>
      <c r="BA42" s="78">
        <f t="shared" si="40"/>
        <v>0.56076339461912916</v>
      </c>
      <c r="BB42" s="78">
        <f t="shared" si="40"/>
        <v>0.57685218227864765</v>
      </c>
      <c r="BC42" s="78">
        <f t="shared" si="28"/>
        <v>0.58560488751480078</v>
      </c>
      <c r="BD42" s="592">
        <v>0</v>
      </c>
      <c r="BE42" s="592">
        <v>0</v>
      </c>
      <c r="BF42" s="592">
        <v>0</v>
      </c>
      <c r="BG42" s="592">
        <v>0</v>
      </c>
      <c r="BH42" s="592">
        <v>2.93</v>
      </c>
      <c r="BI42" s="592">
        <v>13.3</v>
      </c>
      <c r="BJ42" s="28"/>
      <c r="BK42" s="8">
        <v>4.6399999999999997</v>
      </c>
      <c r="BL42" s="8">
        <v>90.18</v>
      </c>
      <c r="BM42" s="8">
        <v>121.851</v>
      </c>
      <c r="BN42" s="8">
        <v>88.402999999999992</v>
      </c>
      <c r="BO42" s="8">
        <v>210.17</v>
      </c>
      <c r="BP42" s="8">
        <v>111.41</v>
      </c>
      <c r="BQ42" s="8">
        <v>147.828</v>
      </c>
      <c r="BR42" s="8">
        <v>207.11150000000009</v>
      </c>
      <c r="BS42" s="407">
        <v>115.49949999999998</v>
      </c>
      <c r="BT42" s="407">
        <v>57.096499999999999</v>
      </c>
      <c r="BU42" s="408">
        <f t="shared" si="29"/>
        <v>59.467381281728223</v>
      </c>
      <c r="BV42" s="601">
        <v>61.838262563456453</v>
      </c>
      <c r="BW42" s="602">
        <v>132.57399999999998</v>
      </c>
      <c r="BX42" s="722">
        <v>110.88239999999999</v>
      </c>
      <c r="BY42" s="28"/>
      <c r="BZ42" s="315">
        <v>17.88</v>
      </c>
      <c r="CA42" s="315">
        <v>27.19</v>
      </c>
      <c r="CB42" s="315">
        <v>9.61</v>
      </c>
      <c r="CC42" s="315">
        <v>40.6</v>
      </c>
      <c r="CD42" s="315">
        <v>21.35</v>
      </c>
      <c r="CE42" s="315">
        <v>18.04</v>
      </c>
      <c r="CF42" s="315">
        <v>7.33</v>
      </c>
      <c r="CG42" s="315">
        <v>10.28</v>
      </c>
      <c r="CH42" s="8">
        <v>29.027331</v>
      </c>
      <c r="CI42" s="8">
        <v>5.0889999999999995</v>
      </c>
      <c r="CJ42" s="1">
        <v>1.6449999999999999E-2</v>
      </c>
      <c r="CK42" s="1">
        <v>55.131399999999999</v>
      </c>
      <c r="CL42" s="1">
        <v>0</v>
      </c>
      <c r="CM42" s="1">
        <v>1.3335E-2</v>
      </c>
      <c r="CN42" s="28"/>
      <c r="CO42" s="78">
        <f t="shared" si="41"/>
        <v>0.38226841968136205</v>
      </c>
      <c r="CP42" s="78">
        <f t="shared" si="41"/>
        <v>0.38564612279657962</v>
      </c>
      <c r="CQ42" s="78">
        <f t="shared" si="41"/>
        <v>0.39024720307049793</v>
      </c>
      <c r="CR42" s="78">
        <f t="shared" si="41"/>
        <v>0.39389244702652482</v>
      </c>
      <c r="CS42" s="78">
        <f t="shared" si="41"/>
        <v>0.39681517516536602</v>
      </c>
      <c r="CT42" s="78">
        <f t="shared" si="41"/>
        <v>0.39807588360417961</v>
      </c>
      <c r="CU42" s="78">
        <f t="shared" si="41"/>
        <v>0.39827420602977964</v>
      </c>
      <c r="CV42" s="78">
        <f t="shared" si="30"/>
        <v>0.39916704581248041</v>
      </c>
      <c r="CW42" s="592">
        <v>0</v>
      </c>
      <c r="CX42" s="592">
        <v>0</v>
      </c>
      <c r="CY42" s="592">
        <v>0</v>
      </c>
      <c r="CZ42" s="592">
        <v>2</v>
      </c>
      <c r="DA42" s="592">
        <v>0</v>
      </c>
      <c r="DB42" s="592">
        <v>14</v>
      </c>
      <c r="DC42" s="28"/>
      <c r="DD42" s="8">
        <v>35.813000000000002</v>
      </c>
      <c r="DE42" s="8">
        <v>26.71</v>
      </c>
      <c r="DF42" s="8">
        <v>123.34700000000004</v>
      </c>
      <c r="DG42" s="8">
        <v>1251.985000000001</v>
      </c>
      <c r="DH42" s="8">
        <v>1567.9859999999994</v>
      </c>
      <c r="DI42" s="8">
        <v>1767.3849999999989</v>
      </c>
      <c r="DJ42" s="8">
        <v>1823.6779999999976</v>
      </c>
      <c r="DK42" s="8">
        <v>1150.3869999999999</v>
      </c>
      <c r="DL42" s="8">
        <v>421.49999999999989</v>
      </c>
      <c r="DM42" s="8">
        <v>1947.2370000000001</v>
      </c>
      <c r="DN42" s="1">
        <v>772.5973529079173</v>
      </c>
      <c r="DO42" s="1">
        <v>336.13099999999974</v>
      </c>
      <c r="DP42" s="1">
        <v>1901.9895364999998</v>
      </c>
      <c r="DQ42" s="394">
        <v>1234.2636799999991</v>
      </c>
      <c r="DR42" s="28"/>
      <c r="DS42" s="8">
        <v>19.673500000000001</v>
      </c>
      <c r="DT42" s="8">
        <v>7.399</v>
      </c>
      <c r="DU42" s="8">
        <v>26.9983</v>
      </c>
      <c r="DV42" s="8">
        <v>41.743322499999998</v>
      </c>
      <c r="DW42" s="8">
        <v>17.940499999999997</v>
      </c>
      <c r="DX42" s="8">
        <v>53.529199999999996</v>
      </c>
      <c r="DY42" s="8">
        <v>24.755599999999998</v>
      </c>
      <c r="DZ42" s="8">
        <v>49.522020999999995</v>
      </c>
      <c r="EA42" s="8">
        <v>490.82889999999998</v>
      </c>
      <c r="EB42" s="8">
        <v>234.5692</v>
      </c>
      <c r="EC42" s="281">
        <v>411.37890530486618</v>
      </c>
      <c r="ED42" s="395">
        <v>368.44529999999986</v>
      </c>
      <c r="EE42" s="393">
        <v>212.36347499999991</v>
      </c>
      <c r="EF42" s="393">
        <v>350.39859999999999</v>
      </c>
      <c r="EH42" s="65"/>
      <c r="EI42" s="249"/>
    </row>
    <row r="43" spans="1:139" s="26" customFormat="1">
      <c r="A43" s="27" t="s">
        <v>25</v>
      </c>
      <c r="B43" s="28"/>
      <c r="C43" s="8">
        <f t="shared" ca="1" si="42"/>
        <v>11569.766968982336</v>
      </c>
      <c r="D43" s="8">
        <f t="shared" ca="1" si="43"/>
        <v>11586.904188569166</v>
      </c>
      <c r="E43" s="8">
        <f t="shared" ca="1" si="44"/>
        <v>12645.039157150892</v>
      </c>
      <c r="F43" s="8">
        <f t="shared" ca="1" si="45"/>
        <v>19805.451812673811</v>
      </c>
      <c r="G43" s="8">
        <f t="shared" ca="1" si="46"/>
        <v>20762.834199103341</v>
      </c>
      <c r="H43" s="8">
        <f t="shared" ca="1" si="47"/>
        <v>21760.695021826621</v>
      </c>
      <c r="I43" s="8">
        <f t="shared" ca="1" si="48"/>
        <v>22665.604607600038</v>
      </c>
      <c r="J43" s="8">
        <f t="shared" si="49"/>
        <v>24972.20190597287</v>
      </c>
      <c r="K43" s="8">
        <f t="shared" si="50"/>
        <v>8958.5473100000017</v>
      </c>
      <c r="L43" s="8">
        <f t="shared" si="51"/>
        <v>12279.494227499983</v>
      </c>
      <c r="M43" s="8">
        <f t="shared" si="52"/>
        <v>13634.182265656123</v>
      </c>
      <c r="N43" s="8">
        <f t="shared" si="25"/>
        <v>9141.6974949178002</v>
      </c>
      <c r="O43" s="8">
        <f t="shared" ref="O43:O74" si="53">SUM(AD43,AS43,BH43,BW43,CL43,DA43,DP43,EE43)</f>
        <v>11056.518103548449</v>
      </c>
      <c r="P43" s="8">
        <f t="shared" si="27"/>
        <v>10128.253330929914</v>
      </c>
      <c r="Q43" s="28"/>
      <c r="R43" s="78">
        <f t="shared" si="39"/>
        <v>16.054655280854803</v>
      </c>
      <c r="S43" s="78">
        <f t="shared" si="39"/>
        <v>16.329601945568701</v>
      </c>
      <c r="T43" s="78">
        <f t="shared" si="39"/>
        <v>16.658162023764341</v>
      </c>
      <c r="U43" s="78">
        <f t="shared" si="39"/>
        <v>16.978798703684362</v>
      </c>
      <c r="V43" s="78">
        <f t="shared" si="39"/>
        <v>17.309683611314167</v>
      </c>
      <c r="W43" s="78">
        <f t="shared" si="39"/>
        <v>17.64018895495472</v>
      </c>
      <c r="X43" s="78">
        <f t="shared" si="39"/>
        <v>18.028720143452066</v>
      </c>
      <c r="Y43" s="78">
        <f t="shared" si="31"/>
        <v>18.347838567415081</v>
      </c>
      <c r="Z43" s="592">
        <v>22.11</v>
      </c>
      <c r="AA43" s="592">
        <v>34.7117</v>
      </c>
      <c r="AB43" s="592">
        <v>21.305</v>
      </c>
      <c r="AC43" s="592">
        <v>10.02</v>
      </c>
      <c r="AD43" s="592">
        <v>4.99</v>
      </c>
      <c r="AE43" s="592">
        <v>15.675000000000001</v>
      </c>
      <c r="AF43" s="28"/>
      <c r="AG43" s="320">
        <f ca="1">('Basel data'!F265+'Basel data'!F219)/2+'NEPM data'!G14-'NEPM data'!I269</f>
        <v>3823.5038394999997</v>
      </c>
      <c r="AH43" s="320">
        <f ca="1">('Basel data'!F219+'Basel data'!F173)/2+'NEPM data'!H14-SUM('NEPM data'!H253:M253)</f>
        <v>3777.9635395</v>
      </c>
      <c r="AI43" s="320">
        <f ca="1">('Basel data'!F173+'Basel data'!F127)/2+'NEPM data'!I14-SUM('NEPM data'!H238:M238)</f>
        <v>3741.1997000000001</v>
      </c>
      <c r="AJ43" s="320">
        <f ca="1">('Basel data'!F127+'Basel data'!F81)/2+'NEPM data'!J14-SUM('NEPM data'!H223:M223)</f>
        <v>3392.4300000000003</v>
      </c>
      <c r="AK43" s="313">
        <f ca="1">2724.029391+'NEPM data'!K14-SUM('NEPM data'!H208:M208)</f>
        <v>3363.0993910000002</v>
      </c>
      <c r="AL43" s="317">
        <f ca="1">4202.6247812+'NEPM data'!L14-SUM('NEPM data'!H193:M193)</f>
        <v>4956.2047812000001</v>
      </c>
      <c r="AM43" s="313">
        <f ca="1">3169.57885959999-SUM('NEPM data'!H178:N178)+'NEPM data'!M14</f>
        <v>4670.0188595999898</v>
      </c>
      <c r="AN43" s="317">
        <f>7818.48412905999-501+1269+262</f>
        <v>8848.4841290599907</v>
      </c>
      <c r="AO43" s="532">
        <v>182</v>
      </c>
      <c r="AP43" s="533">
        <f>1906.15871-322+756+2935+37-(0.63*1207)</f>
        <v>4551.7487099999998</v>
      </c>
      <c r="AQ43" s="534">
        <v>4200.5817117090091</v>
      </c>
      <c r="AR43" s="532">
        <v>3821.0175609301614</v>
      </c>
      <c r="AS43" s="532">
        <v>704.6728979100003</v>
      </c>
      <c r="AT43" s="532">
        <v>1720.7187796000012</v>
      </c>
      <c r="AU43" s="28"/>
      <c r="AV43" s="78">
        <f t="shared" si="40"/>
        <v>3.4148884357321405</v>
      </c>
      <c r="AW43" s="78">
        <f t="shared" si="40"/>
        <v>3.5053300881462968</v>
      </c>
      <c r="AX43" s="78">
        <f t="shared" si="40"/>
        <v>3.600933824496777</v>
      </c>
      <c r="AY43" s="78">
        <f t="shared" si="40"/>
        <v>3.6860030259176422</v>
      </c>
      <c r="AZ43" s="78">
        <f t="shared" si="40"/>
        <v>3.7267171424812524</v>
      </c>
      <c r="BA43" s="78">
        <f t="shared" si="40"/>
        <v>3.7664926983291669</v>
      </c>
      <c r="BB43" s="78">
        <f t="shared" si="40"/>
        <v>3.8745566372845679</v>
      </c>
      <c r="BC43" s="78">
        <f t="shared" si="28"/>
        <v>3.9333461386659647</v>
      </c>
      <c r="BD43" s="592">
        <v>0</v>
      </c>
      <c r="BE43" s="592">
        <v>12.71</v>
      </c>
      <c r="BF43" s="592">
        <v>4</v>
      </c>
      <c r="BG43" s="592">
        <v>0</v>
      </c>
      <c r="BH43" s="592">
        <v>2.97</v>
      </c>
      <c r="BI43" s="592">
        <v>7</v>
      </c>
      <c r="BJ43" s="28"/>
      <c r="BK43" s="8">
        <v>2197.71</v>
      </c>
      <c r="BL43" s="8">
        <v>2031.4789999999998</v>
      </c>
      <c r="BM43" s="8">
        <v>1914.2539999999999</v>
      </c>
      <c r="BN43" s="8">
        <v>1032.4000000000001</v>
      </c>
      <c r="BO43" s="8">
        <v>889.37300000000005</v>
      </c>
      <c r="BP43" s="8">
        <v>1700.894</v>
      </c>
      <c r="BQ43" s="8">
        <v>1899.5239999999999</v>
      </c>
      <c r="BR43" s="8">
        <v>2560.1368200000206</v>
      </c>
      <c r="BS43" s="407">
        <v>1420.1001600000004</v>
      </c>
      <c r="BT43" s="407">
        <v>1047.3286199999934</v>
      </c>
      <c r="BU43" s="408">
        <f t="shared" si="29"/>
        <v>1069.2680013938079</v>
      </c>
      <c r="BV43" s="601">
        <v>1091.2073827876222</v>
      </c>
      <c r="BW43" s="602">
        <v>4069.5193026984493</v>
      </c>
      <c r="BX43" s="722">
        <v>1473.656099999919</v>
      </c>
      <c r="BY43" s="28"/>
      <c r="BZ43" s="315">
        <v>1018.26</v>
      </c>
      <c r="CA43" s="315">
        <v>1006.02</v>
      </c>
      <c r="CB43" s="315">
        <v>1425.51</v>
      </c>
      <c r="CC43" s="315">
        <v>3086.9300000000003</v>
      </c>
      <c r="CD43" s="315">
        <v>5115.0199999999995</v>
      </c>
      <c r="CE43" s="315">
        <v>4223.0199999999995</v>
      </c>
      <c r="CF43" s="315">
        <v>1176.04</v>
      </c>
      <c r="CG43" s="315">
        <v>268.37</v>
      </c>
      <c r="CH43" s="8">
        <v>252.12501699999999</v>
      </c>
      <c r="CI43" s="536">
        <f>168.2617495-(0*0.63)</f>
        <v>168.26174950000001</v>
      </c>
      <c r="CJ43" s="537">
        <v>120.06964899999993</v>
      </c>
      <c r="CK43" s="537">
        <v>235.54789659999994</v>
      </c>
      <c r="CL43" s="537">
        <v>505.46808676000001</v>
      </c>
      <c r="CM43" s="537">
        <v>236.30297976000006</v>
      </c>
      <c r="CN43" s="28"/>
      <c r="CO43" s="78">
        <f t="shared" si="41"/>
        <v>438.70710256574779</v>
      </c>
      <c r="CP43" s="78">
        <f t="shared" si="41"/>
        <v>442.58349483545078</v>
      </c>
      <c r="CQ43" s="78">
        <f t="shared" si="41"/>
        <v>447.86388550263081</v>
      </c>
      <c r="CR43" s="78">
        <f t="shared" si="41"/>
        <v>452.04731874419139</v>
      </c>
      <c r="CS43" s="78">
        <f t="shared" si="41"/>
        <v>455.40156284954332</v>
      </c>
      <c r="CT43" s="78">
        <f t="shared" si="41"/>
        <v>456.84840417332606</v>
      </c>
      <c r="CU43" s="78">
        <f t="shared" si="41"/>
        <v>457.07600721932528</v>
      </c>
      <c r="CV43" s="78">
        <f t="shared" si="30"/>
        <v>458.10066720680368</v>
      </c>
      <c r="CW43" s="592">
        <v>1420.0450000000001</v>
      </c>
      <c r="CX43" s="592">
        <v>631.24</v>
      </c>
      <c r="CY43" s="592">
        <v>34.069000000000003</v>
      </c>
      <c r="CZ43" s="592">
        <v>67.108000000000004</v>
      </c>
      <c r="DA43" s="592">
        <v>142.821</v>
      </c>
      <c r="DB43" s="592">
        <v>130.03</v>
      </c>
      <c r="DC43" s="28"/>
      <c r="DD43" s="8">
        <v>1073.396</v>
      </c>
      <c r="DE43" s="8">
        <v>1137.8769999999995</v>
      </c>
      <c r="DF43" s="8">
        <v>2298.1059999999979</v>
      </c>
      <c r="DG43" s="8">
        <v>8314.3910000000178</v>
      </c>
      <c r="DH43" s="8">
        <v>7274.3200000000024</v>
      </c>
      <c r="DI43" s="8">
        <v>7025.1380000000117</v>
      </c>
      <c r="DJ43" s="8">
        <v>6800.3399999999847</v>
      </c>
      <c r="DK43" s="8">
        <v>3533.1179999999745</v>
      </c>
      <c r="DL43" s="536">
        <v>43</v>
      </c>
      <c r="DM43" s="536">
        <f>2548.58399999999-(0.63*1731)</f>
        <v>1458.0539999999899</v>
      </c>
      <c r="DN43" s="537">
        <v>1243</v>
      </c>
      <c r="DO43" s="537">
        <v>801.83279000000016</v>
      </c>
      <c r="DP43" s="537">
        <v>3630.4626461199978</v>
      </c>
      <c r="DQ43" s="538">
        <v>4009.3449348399922</v>
      </c>
      <c r="DR43" s="28"/>
      <c r="DS43" s="8">
        <v>2998.7204832000002</v>
      </c>
      <c r="DT43" s="8">
        <v>3171.1462222</v>
      </c>
      <c r="DU43" s="8">
        <v>2797.8464758</v>
      </c>
      <c r="DV43" s="8">
        <v>3506.5886922000004</v>
      </c>
      <c r="DW43" s="8">
        <v>3644.5838444999999</v>
      </c>
      <c r="DX43" s="8">
        <v>3377.1831548</v>
      </c>
      <c r="DY43" s="8">
        <v>7640.7024640000009</v>
      </c>
      <c r="DZ43" s="8">
        <v>9281.7111050000003</v>
      </c>
      <c r="EA43" s="536">
        <v>5619.1671330000008</v>
      </c>
      <c r="EB43" s="536">
        <f>6757.469448-(0.63*3781)</f>
        <v>4375.4394479999992</v>
      </c>
      <c r="EC43" s="537">
        <v>6941.8889035533066</v>
      </c>
      <c r="ED43" s="538">
        <v>3114.9638646000162</v>
      </c>
      <c r="EE43" s="539">
        <v>1995.6141700600028</v>
      </c>
      <c r="EF43" s="539">
        <v>2535.5255367300024</v>
      </c>
      <c r="EH43" s="65"/>
      <c r="EI43" s="249"/>
    </row>
    <row r="44" spans="1:139" s="26" customFormat="1" ht="15" customHeight="1">
      <c r="A44" s="27" t="s">
        <v>26</v>
      </c>
      <c r="B44" s="28"/>
      <c r="C44" s="8">
        <f t="shared" si="42"/>
        <v>2035.9090702530184</v>
      </c>
      <c r="D44" s="8">
        <f t="shared" si="43"/>
        <v>1709.7969223828204</v>
      </c>
      <c r="E44" s="8">
        <f t="shared" si="44"/>
        <v>2204.3945765846847</v>
      </c>
      <c r="F44" s="8">
        <f t="shared" si="45"/>
        <v>1540.2318530802299</v>
      </c>
      <c r="G44" s="8">
        <f t="shared" si="46"/>
        <v>1361.2346729027552</v>
      </c>
      <c r="H44" s="8">
        <f t="shared" si="47"/>
        <v>1454.8866165104282</v>
      </c>
      <c r="I44" s="8">
        <f t="shared" si="48"/>
        <v>1455.0991965155317</v>
      </c>
      <c r="J44" s="8">
        <f t="shared" si="49"/>
        <v>1693.1585517075721</v>
      </c>
      <c r="K44" s="8">
        <f t="shared" si="50"/>
        <v>475.26705600000116</v>
      </c>
      <c r="L44" s="8">
        <f t="shared" si="51"/>
        <v>707.43098000000055</v>
      </c>
      <c r="M44" s="8">
        <f t="shared" si="52"/>
        <v>629.08338735836878</v>
      </c>
      <c r="N44" s="8">
        <f t="shared" si="25"/>
        <v>543.27356246533282</v>
      </c>
      <c r="O44" s="8">
        <f t="shared" si="53"/>
        <v>554.17693000000054</v>
      </c>
      <c r="P44" s="8">
        <f t="shared" si="27"/>
        <v>595.00679950000062</v>
      </c>
      <c r="Q44" s="28"/>
      <c r="R44" s="78">
        <f t="shared" si="39"/>
        <v>1.7890180759287324</v>
      </c>
      <c r="S44" s="78">
        <f t="shared" si="39"/>
        <v>1.8196562020351241</v>
      </c>
      <c r="T44" s="78">
        <f t="shared" si="39"/>
        <v>1.8562686305574303</v>
      </c>
      <c r="U44" s="78">
        <f t="shared" si="39"/>
        <v>1.8919981312005703</v>
      </c>
      <c r="V44" s="78">
        <f t="shared" si="39"/>
        <v>1.9288696223940092</v>
      </c>
      <c r="W44" s="78">
        <f t="shared" si="39"/>
        <v>1.9656988176411403</v>
      </c>
      <c r="X44" s="78">
        <f t="shared" si="39"/>
        <v>2.0089940056800089</v>
      </c>
      <c r="Y44" s="78">
        <f t="shared" si="31"/>
        <v>2.0445543225379192</v>
      </c>
      <c r="Z44" s="592">
        <v>3.7449999999999997</v>
      </c>
      <c r="AA44" s="592">
        <v>1.851</v>
      </c>
      <c r="AB44" s="592">
        <v>1.167</v>
      </c>
      <c r="AC44" s="592">
        <v>2.3254999999999999</v>
      </c>
      <c r="AD44" s="592">
        <v>1.29</v>
      </c>
      <c r="AE44" s="592">
        <v>1.23</v>
      </c>
      <c r="AF44" s="28"/>
      <c r="AG44" s="73">
        <f>('Basel data'!F310+'Basel data'!F264)/2</f>
        <v>808.59466818181818</v>
      </c>
      <c r="AH44" s="73">
        <f>('Basel data'!F264+'Basel data'!F218)/2</f>
        <v>516.51240499999994</v>
      </c>
      <c r="AI44" s="73">
        <f>('Basel data'!F218+'Basel data'!F172)/2</f>
        <v>605.48790499999996</v>
      </c>
      <c r="AJ44" s="73">
        <f>('Basel data'!F172+'Basel data'!F126)/2</f>
        <v>473.65550000000002</v>
      </c>
      <c r="AK44" s="8">
        <v>219.50890000000075</v>
      </c>
      <c r="AL44" s="315">
        <v>343.91199499999959</v>
      </c>
      <c r="AM44" s="8">
        <v>317.78700000000151</v>
      </c>
      <c r="AN44" s="315">
        <v>788.88740000000143</v>
      </c>
      <c r="AO44" s="282">
        <v>145.13705000000112</v>
      </c>
      <c r="AP44" s="8">
        <v>166.13795000000056</v>
      </c>
      <c r="AQ44" s="1">
        <v>252.28800000000021</v>
      </c>
      <c r="AR44" s="282">
        <v>270.74485000000061</v>
      </c>
      <c r="AS44" s="282">
        <v>129.03800000000047</v>
      </c>
      <c r="AT44" s="282">
        <v>215.07325000000054</v>
      </c>
      <c r="AU44" s="28"/>
      <c r="AV44" s="78">
        <f t="shared" si="40"/>
        <v>5.5042518328180483</v>
      </c>
      <c r="AW44" s="78">
        <f t="shared" si="40"/>
        <v>5.6500292543744228</v>
      </c>
      <c r="AX44" s="78">
        <f t="shared" si="40"/>
        <v>5.8041271263649508</v>
      </c>
      <c r="AY44" s="78">
        <f t="shared" si="40"/>
        <v>5.9412450195697915</v>
      </c>
      <c r="AZ44" s="78">
        <f t="shared" si="40"/>
        <v>6.0068696380410458</v>
      </c>
      <c r="BA44" s="78">
        <f t="shared" si="40"/>
        <v>6.0709814473424535</v>
      </c>
      <c r="BB44" s="78">
        <f t="shared" si="40"/>
        <v>6.2451631652085249</v>
      </c>
      <c r="BC44" s="78">
        <f t="shared" si="28"/>
        <v>6.3399224016576756</v>
      </c>
      <c r="BD44" s="592">
        <v>0</v>
      </c>
      <c r="BE44" s="592">
        <v>0.76100000000000001</v>
      </c>
      <c r="BF44" s="592">
        <v>0</v>
      </c>
      <c r="BG44" s="592">
        <v>22</v>
      </c>
      <c r="BH44" s="592">
        <v>8.9599999999999991</v>
      </c>
      <c r="BI44" s="721">
        <v>0</v>
      </c>
      <c r="BJ44" s="28"/>
      <c r="BK44" s="8">
        <v>19.88</v>
      </c>
      <c r="BL44" s="8">
        <v>125.161</v>
      </c>
      <c r="BM44" s="8">
        <v>132.79599999999999</v>
      </c>
      <c r="BN44" s="8">
        <v>59.948999999999998</v>
      </c>
      <c r="BO44" s="8">
        <v>94.516000000000005</v>
      </c>
      <c r="BP44" s="8">
        <v>45.533000000000001</v>
      </c>
      <c r="BQ44" s="8">
        <v>132.53899999999999</v>
      </c>
      <c r="BR44" s="8">
        <v>418.45249999999913</v>
      </c>
      <c r="BS44" s="407">
        <v>36.765000000000001</v>
      </c>
      <c r="BT44" s="407">
        <v>50.087500000000006</v>
      </c>
      <c r="BU44" s="408">
        <f t="shared" si="29"/>
        <v>66.978606232666152</v>
      </c>
      <c r="BV44" s="601">
        <v>83.869712465332299</v>
      </c>
      <c r="BW44" s="602">
        <v>17.44000000000009</v>
      </c>
      <c r="BX44" s="722">
        <v>48.10499999999999</v>
      </c>
      <c r="BY44" s="28"/>
      <c r="BZ44" s="315">
        <v>255.79000000000002</v>
      </c>
      <c r="CA44" s="315">
        <v>394.22999999999996</v>
      </c>
      <c r="CB44" s="315">
        <v>437.56</v>
      </c>
      <c r="CC44" s="315">
        <v>344.75</v>
      </c>
      <c r="CD44" s="315">
        <v>321.48999999999995</v>
      </c>
      <c r="CE44" s="315">
        <v>272.77999999999997</v>
      </c>
      <c r="CF44" s="315">
        <v>229.04</v>
      </c>
      <c r="CG44" s="315">
        <v>68.849999999999994</v>
      </c>
      <c r="CH44" s="8">
        <v>93.260506000000007</v>
      </c>
      <c r="CI44" s="8">
        <v>148.70613</v>
      </c>
      <c r="CJ44" s="1">
        <v>60.024470000000008</v>
      </c>
      <c r="CK44" s="1">
        <v>70.103999999999985</v>
      </c>
      <c r="CL44" s="1">
        <v>44.413720000000005</v>
      </c>
      <c r="CM44" s="1">
        <v>42.449299499999995</v>
      </c>
      <c r="CN44" s="28"/>
      <c r="CO44" s="78">
        <f t="shared" si="41"/>
        <v>1.6636321624532875</v>
      </c>
      <c r="CP44" s="78">
        <f t="shared" si="41"/>
        <v>1.6783319264107144</v>
      </c>
      <c r="CQ44" s="78">
        <f t="shared" si="41"/>
        <v>1.6983558277628068</v>
      </c>
      <c r="CR44" s="78">
        <f t="shared" si="41"/>
        <v>1.7142199294594358</v>
      </c>
      <c r="CS44" s="78">
        <f t="shared" si="41"/>
        <v>1.7269396423196728</v>
      </c>
      <c r="CT44" s="78">
        <f t="shared" si="41"/>
        <v>1.7324262454453896</v>
      </c>
      <c r="CU44" s="78">
        <f t="shared" si="41"/>
        <v>1.7332893446416009</v>
      </c>
      <c r="CV44" s="78">
        <f t="shared" si="30"/>
        <v>1.7371749833759147</v>
      </c>
      <c r="CW44" s="592">
        <v>6.8100000000000005</v>
      </c>
      <c r="CX44" s="592">
        <v>0</v>
      </c>
      <c r="CY44" s="592">
        <v>0</v>
      </c>
      <c r="CZ44" s="592">
        <v>0</v>
      </c>
      <c r="DA44" s="592">
        <v>1.8939999999999999</v>
      </c>
      <c r="DB44" s="592">
        <v>0</v>
      </c>
      <c r="DC44" s="28"/>
      <c r="DD44" s="8">
        <v>722.19400000000007</v>
      </c>
      <c r="DE44" s="8">
        <v>492.55300000000022</v>
      </c>
      <c r="DF44" s="8">
        <v>517.32099999999969</v>
      </c>
      <c r="DG44" s="8">
        <v>561.38800000000015</v>
      </c>
      <c r="DH44" s="8">
        <v>610.72099999999978</v>
      </c>
      <c r="DI44" s="8">
        <v>430.55399999999975</v>
      </c>
      <c r="DJ44" s="8">
        <v>333.8490000000001</v>
      </c>
      <c r="DK44" s="8">
        <v>173.58700000000005</v>
      </c>
      <c r="DL44" s="8">
        <v>79.561999999999998</v>
      </c>
      <c r="DM44" s="8">
        <v>248.98599999999993</v>
      </c>
      <c r="DN44" s="1">
        <v>149.71189041434937</v>
      </c>
      <c r="DO44" s="1">
        <v>75.263999999999996</v>
      </c>
      <c r="DP44" s="1">
        <v>335.97774999999996</v>
      </c>
      <c r="DQ44" s="394">
        <v>272.53975000000003</v>
      </c>
      <c r="DR44" s="28"/>
      <c r="DS44" s="8">
        <v>220.49350000000001</v>
      </c>
      <c r="DT44" s="8">
        <v>172.1925</v>
      </c>
      <c r="DU44" s="8">
        <v>501.87092000000001</v>
      </c>
      <c r="DV44" s="8">
        <v>90.941890000000001</v>
      </c>
      <c r="DW44" s="8">
        <v>105.336094</v>
      </c>
      <c r="DX44" s="8">
        <v>352.33851500000003</v>
      </c>
      <c r="DY44" s="8">
        <v>431.89675000000005</v>
      </c>
      <c r="DZ44" s="8">
        <v>233.26</v>
      </c>
      <c r="EA44" s="8">
        <v>109.9875</v>
      </c>
      <c r="EB44" s="8">
        <v>90.901399999999995</v>
      </c>
      <c r="EC44" s="281">
        <v>98.913420711353126</v>
      </c>
      <c r="ED44" s="395">
        <v>18.965499999999999</v>
      </c>
      <c r="EE44" s="393">
        <v>15.163459999999999</v>
      </c>
      <c r="EF44" s="393">
        <v>15.609500000000002</v>
      </c>
      <c r="EH44" s="65"/>
      <c r="EI44" s="249"/>
    </row>
    <row r="45" spans="1:139" s="26" customFormat="1">
      <c r="A45" s="27" t="s">
        <v>27</v>
      </c>
      <c r="B45" s="28"/>
      <c r="C45" s="8">
        <f t="shared" si="42"/>
        <v>1389.8670000000002</v>
      </c>
      <c r="D45" s="8">
        <f t="shared" si="43"/>
        <v>1296.4573304999999</v>
      </c>
      <c r="E45" s="8">
        <f t="shared" si="44"/>
        <v>1333.5885805</v>
      </c>
      <c r="F45" s="8">
        <f t="shared" si="45"/>
        <v>1865.9252500000002</v>
      </c>
      <c r="G45" s="8">
        <f t="shared" si="46"/>
        <v>8174.4434999999967</v>
      </c>
      <c r="H45" s="8">
        <f t="shared" si="47"/>
        <v>14469.102499999997</v>
      </c>
      <c r="I45" s="8">
        <f t="shared" si="48"/>
        <v>13550.798499999997</v>
      </c>
      <c r="J45" s="8">
        <f t="shared" si="49"/>
        <v>11800.870999999988</v>
      </c>
      <c r="K45" s="8">
        <f t="shared" si="50"/>
        <v>2297.6020210000006</v>
      </c>
      <c r="L45" s="8">
        <f t="shared" si="51"/>
        <v>2774.3548899999996</v>
      </c>
      <c r="M45" s="8">
        <f t="shared" si="52"/>
        <v>2685.3100767508718</v>
      </c>
      <c r="N45" s="8">
        <f t="shared" si="25"/>
        <v>2531.005107891413</v>
      </c>
      <c r="O45" s="8">
        <f t="shared" si="53"/>
        <v>3221.3799822575497</v>
      </c>
      <c r="P45" s="8">
        <f t="shared" si="27"/>
        <v>3109.9376492271999</v>
      </c>
      <c r="Q45" s="28"/>
      <c r="R45" s="78">
        <f t="shared" si="39"/>
        <v>0</v>
      </c>
      <c r="S45" s="78">
        <f t="shared" si="39"/>
        <v>0</v>
      </c>
      <c r="T45" s="78">
        <f t="shared" si="39"/>
        <v>0</v>
      </c>
      <c r="U45" s="78">
        <f t="shared" si="39"/>
        <v>0</v>
      </c>
      <c r="V45" s="78">
        <f t="shared" si="39"/>
        <v>0</v>
      </c>
      <c r="W45" s="78">
        <f t="shared" si="39"/>
        <v>0</v>
      </c>
      <c r="X45" s="78">
        <f t="shared" si="39"/>
        <v>0</v>
      </c>
      <c r="Y45" s="78">
        <f t="shared" si="31"/>
        <v>0</v>
      </c>
      <c r="Z45" s="592">
        <v>0</v>
      </c>
      <c r="AA45" s="592">
        <v>0</v>
      </c>
      <c r="AB45" s="592">
        <v>0</v>
      </c>
      <c r="AC45" s="592">
        <v>0</v>
      </c>
      <c r="AD45" s="592">
        <v>0</v>
      </c>
      <c r="AE45" s="592">
        <v>0</v>
      </c>
      <c r="AF45" s="28"/>
      <c r="AG45" s="73">
        <f>('Basel data'!F275+'Basel data'!F229)/2</f>
        <v>584.13300000000004</v>
      </c>
      <c r="AH45" s="73">
        <f>('Basel data'!F229+'Basel data'!F183)/2</f>
        <v>728.78233049999994</v>
      </c>
      <c r="AI45" s="73">
        <f>('Basel data'!F183+'Basel data'!F137)/2</f>
        <v>903.90258049999989</v>
      </c>
      <c r="AJ45" s="73">
        <f>('Basel data'!F137+'Basel data'!F91)/2</f>
        <v>866.34024999999997</v>
      </c>
      <c r="AK45" s="8">
        <v>641.32150000000001</v>
      </c>
      <c r="AL45" s="315">
        <v>730.45449999999983</v>
      </c>
      <c r="AM45" s="8">
        <v>777.62249999999972</v>
      </c>
      <c r="AN45" s="315">
        <v>825.63100000000009</v>
      </c>
      <c r="AO45" s="282">
        <v>269.20499999999998</v>
      </c>
      <c r="AP45" s="8">
        <v>573.13688999999999</v>
      </c>
      <c r="AQ45" s="1">
        <v>421.88299999999998</v>
      </c>
      <c r="AR45" s="282">
        <v>372.91645438966816</v>
      </c>
      <c r="AS45" s="282">
        <v>227.05199999999942</v>
      </c>
      <c r="AT45" s="282">
        <v>79.811000000000035</v>
      </c>
      <c r="AU45" s="28"/>
      <c r="AV45" s="78">
        <f t="shared" si="40"/>
        <v>0</v>
      </c>
      <c r="AW45" s="78">
        <f t="shared" si="40"/>
        <v>0</v>
      </c>
      <c r="AX45" s="78">
        <f t="shared" si="40"/>
        <v>0</v>
      </c>
      <c r="AY45" s="78">
        <f t="shared" si="40"/>
        <v>0</v>
      </c>
      <c r="AZ45" s="78">
        <f t="shared" si="40"/>
        <v>0</v>
      </c>
      <c r="BA45" s="78">
        <f t="shared" si="40"/>
        <v>0</v>
      </c>
      <c r="BB45" s="78">
        <f t="shared" si="40"/>
        <v>0</v>
      </c>
      <c r="BC45" s="78">
        <f t="shared" si="28"/>
        <v>0</v>
      </c>
      <c r="BD45" s="592">
        <v>0</v>
      </c>
      <c r="BE45" s="592">
        <v>0</v>
      </c>
      <c r="BF45" s="592">
        <v>0</v>
      </c>
      <c r="BG45" s="592">
        <v>0</v>
      </c>
      <c r="BH45" s="592">
        <v>0</v>
      </c>
      <c r="BI45" s="721">
        <v>0</v>
      </c>
      <c r="BJ45" s="28"/>
      <c r="BK45" s="8">
        <v>273.00400000000002</v>
      </c>
      <c r="BL45" s="8">
        <v>222.82400000000001</v>
      </c>
      <c r="BM45" s="8">
        <v>96.59</v>
      </c>
      <c r="BN45" s="8">
        <v>76.187000000000012</v>
      </c>
      <c r="BO45" s="8">
        <v>5448.6019999999999</v>
      </c>
      <c r="BP45" s="8">
        <v>12319.029</v>
      </c>
      <c r="BQ45" s="8">
        <v>10557.789000000001</v>
      </c>
      <c r="BR45" s="8">
        <v>9340.4759999999969</v>
      </c>
      <c r="BS45" s="407">
        <v>822.08799999999997</v>
      </c>
      <c r="BT45" s="407">
        <v>1005.5479999999999</v>
      </c>
      <c r="BU45" s="408">
        <f t="shared" si="29"/>
        <v>1164.236576750872</v>
      </c>
      <c r="BV45" s="601">
        <v>1322.9251535017443</v>
      </c>
      <c r="BW45" s="602">
        <v>1519.26972425755</v>
      </c>
      <c r="BX45" s="722">
        <v>1583.9502492272004</v>
      </c>
      <c r="BY45" s="28"/>
      <c r="BZ45" s="315">
        <v>50.04</v>
      </c>
      <c r="CA45" s="315">
        <v>35.31</v>
      </c>
      <c r="CB45" s="315">
        <v>0</v>
      </c>
      <c r="CC45" s="315">
        <v>15.23</v>
      </c>
      <c r="CD45" s="315">
        <v>12.81</v>
      </c>
      <c r="CE45" s="315">
        <v>14.899999999999999</v>
      </c>
      <c r="CF45" s="315">
        <v>1.42</v>
      </c>
      <c r="CG45" s="315">
        <v>25.3</v>
      </c>
      <c r="CH45" s="8">
        <v>8.9860210000000009</v>
      </c>
      <c r="CI45" s="8">
        <v>88.316000000000003</v>
      </c>
      <c r="CJ45" s="1">
        <v>31.701499999999996</v>
      </c>
      <c r="CK45" s="1">
        <v>109.80449999999999</v>
      </c>
      <c r="CL45" s="1">
        <v>106.28300000000002</v>
      </c>
      <c r="CM45" s="1">
        <v>138.03900000000002</v>
      </c>
      <c r="CN45" s="28"/>
      <c r="CO45" s="78">
        <f t="shared" si="41"/>
        <v>0</v>
      </c>
      <c r="CP45" s="78">
        <f t="shared" si="41"/>
        <v>0</v>
      </c>
      <c r="CQ45" s="78">
        <f t="shared" si="41"/>
        <v>0</v>
      </c>
      <c r="CR45" s="78">
        <f t="shared" si="41"/>
        <v>0</v>
      </c>
      <c r="CS45" s="78">
        <f t="shared" si="41"/>
        <v>0</v>
      </c>
      <c r="CT45" s="78">
        <f t="shared" si="41"/>
        <v>0</v>
      </c>
      <c r="CU45" s="78">
        <f t="shared" si="41"/>
        <v>0</v>
      </c>
      <c r="CV45" s="78">
        <f t="shared" si="30"/>
        <v>0</v>
      </c>
      <c r="CW45" s="592">
        <v>0</v>
      </c>
      <c r="CX45" s="592">
        <v>0</v>
      </c>
      <c r="CY45" s="592">
        <v>0</v>
      </c>
      <c r="CZ45" s="592">
        <v>0</v>
      </c>
      <c r="DA45" s="592">
        <v>0</v>
      </c>
      <c r="DB45" s="592">
        <v>0</v>
      </c>
      <c r="DC45" s="28"/>
      <c r="DD45" s="8">
        <v>482.69000000000005</v>
      </c>
      <c r="DE45" s="8">
        <v>309.54100000000005</v>
      </c>
      <c r="DF45" s="8">
        <v>333.09600000000006</v>
      </c>
      <c r="DG45" s="8">
        <v>908.16800000000012</v>
      </c>
      <c r="DH45" s="8">
        <v>2071.7099999999964</v>
      </c>
      <c r="DI45" s="8">
        <v>1404.7189999999978</v>
      </c>
      <c r="DJ45" s="8">
        <v>2213.9669999999978</v>
      </c>
      <c r="DK45" s="8">
        <v>1609.4639999999931</v>
      </c>
      <c r="DL45" s="8">
        <v>1002.6950000000005</v>
      </c>
      <c r="DM45" s="8">
        <v>1065.5589999999993</v>
      </c>
      <c r="DN45" s="1">
        <v>1003.2719999999999</v>
      </c>
      <c r="DO45" s="1">
        <v>718.63300000000061</v>
      </c>
      <c r="DP45" s="1">
        <v>1357.9616580000002</v>
      </c>
      <c r="DQ45" s="394">
        <v>1308.1373999999994</v>
      </c>
      <c r="DR45" s="28"/>
      <c r="DS45" s="8">
        <v>0</v>
      </c>
      <c r="DT45" s="8">
        <v>0</v>
      </c>
      <c r="DU45" s="8">
        <v>0</v>
      </c>
      <c r="DV45" s="8">
        <v>0</v>
      </c>
      <c r="DW45" s="8">
        <v>0</v>
      </c>
      <c r="DX45" s="8">
        <v>0</v>
      </c>
      <c r="DY45" s="8">
        <v>0</v>
      </c>
      <c r="DZ45" s="8">
        <v>0</v>
      </c>
      <c r="EA45" s="8">
        <v>194.62799999999999</v>
      </c>
      <c r="EB45" s="8">
        <v>41.795000000000002</v>
      </c>
      <c r="EC45" s="281">
        <v>64.21699999999997</v>
      </c>
      <c r="ED45" s="395">
        <v>6.726</v>
      </c>
      <c r="EE45" s="393">
        <v>10.813599999999999</v>
      </c>
      <c r="EF45" s="393">
        <v>0</v>
      </c>
      <c r="EH45" s="65"/>
      <c r="EI45" s="249"/>
    </row>
    <row r="46" spans="1:139" s="26" customFormat="1">
      <c r="A46" s="27" t="s">
        <v>28</v>
      </c>
      <c r="B46" s="28"/>
      <c r="C46" s="8">
        <f t="shared" si="42"/>
        <v>2814.9605669175035</v>
      </c>
      <c r="D46" s="8">
        <f t="shared" si="43"/>
        <v>3463.1680293336412</v>
      </c>
      <c r="E46" s="8">
        <f t="shared" si="44"/>
        <v>3089.8048676257758</v>
      </c>
      <c r="F46" s="8">
        <f t="shared" si="45"/>
        <v>5647.1296180087847</v>
      </c>
      <c r="G46" s="8">
        <f t="shared" si="46"/>
        <v>2562.1577829420594</v>
      </c>
      <c r="H46" s="8">
        <f t="shared" si="47"/>
        <v>3779.3611219785125</v>
      </c>
      <c r="I46" s="8">
        <f t="shared" si="48"/>
        <v>2926.5294864014277</v>
      </c>
      <c r="J46" s="8">
        <f t="shared" si="49"/>
        <v>2553.8454463248108</v>
      </c>
      <c r="K46" s="8">
        <f t="shared" si="50"/>
        <v>2892.4905528182549</v>
      </c>
      <c r="L46" s="8">
        <f t="shared" si="51"/>
        <v>9400.9555720000008</v>
      </c>
      <c r="M46" s="8">
        <f t="shared" si="52"/>
        <v>2672.0763814630209</v>
      </c>
      <c r="N46" s="8">
        <f t="shared" si="25"/>
        <v>3486.4392229205696</v>
      </c>
      <c r="O46" s="8">
        <f t="shared" si="53"/>
        <v>4291.1215400000001</v>
      </c>
      <c r="P46" s="8">
        <f t="shared" si="27"/>
        <v>2614.94686</v>
      </c>
      <c r="Q46" s="28"/>
      <c r="R46" s="78">
        <f t="shared" si="39"/>
        <v>0.1503130281071306</v>
      </c>
      <c r="S46" s="78">
        <f t="shared" si="39"/>
        <v>0.15288723882782951</v>
      </c>
      <c r="T46" s="78">
        <f t="shared" si="39"/>
        <v>0.15596340953375532</v>
      </c>
      <c r="U46" s="78">
        <f t="shared" si="39"/>
        <v>0.15896539677283783</v>
      </c>
      <c r="V46" s="78">
        <f t="shared" si="39"/>
        <v>0.16206333388520269</v>
      </c>
      <c r="W46" s="78">
        <f t="shared" si="39"/>
        <v>0.16515771729855708</v>
      </c>
      <c r="X46" s="78">
        <f t="shared" si="39"/>
        <v>0.16879537244813492</v>
      </c>
      <c r="Y46" s="78">
        <f t="shared" si="31"/>
        <v>0.17178314489117563</v>
      </c>
      <c r="Z46" s="592">
        <v>0</v>
      </c>
      <c r="AA46" s="592">
        <v>0.87000000000000011</v>
      </c>
      <c r="AB46" s="592">
        <v>2E-3</v>
      </c>
      <c r="AC46" s="592">
        <v>0</v>
      </c>
      <c r="AD46" s="592">
        <v>0</v>
      </c>
      <c r="AE46" s="592">
        <v>0</v>
      </c>
      <c r="AF46" s="28"/>
      <c r="AG46" s="73">
        <f>('Basel data'!F273+'Basel data'!F227)/2</f>
        <v>653.829835</v>
      </c>
      <c r="AH46" s="73">
        <f>('Basel data'!F227+'Basel data'!F181)/2</f>
        <v>644.40358400000002</v>
      </c>
      <c r="AI46" s="73">
        <f>('Basel data'!F181+'Basel data'!F135)/2</f>
        <v>274.72848399999998</v>
      </c>
      <c r="AJ46" s="73">
        <f>('Basel data'!F135+'Basel data'!F89)/2</f>
        <v>258.4049</v>
      </c>
      <c r="AK46" s="321">
        <v>348.615993</v>
      </c>
      <c r="AL46" s="315">
        <v>446.93100199999986</v>
      </c>
      <c r="AM46" s="8">
        <v>240.52777499999993</v>
      </c>
      <c r="AN46" s="315">
        <v>474.3174659999998</v>
      </c>
      <c r="AO46" s="282">
        <v>62.524999999999999</v>
      </c>
      <c r="AP46" s="8">
        <v>185.29000000000002</v>
      </c>
      <c r="AQ46" s="1">
        <v>196.09740000000002</v>
      </c>
      <c r="AR46" s="282">
        <v>1070.7066</v>
      </c>
      <c r="AS46" s="282">
        <v>1681.8249000000001</v>
      </c>
      <c r="AT46" s="282">
        <v>506.00340000000006</v>
      </c>
      <c r="AU46" s="28"/>
      <c r="AV46" s="78">
        <f t="shared" si="40"/>
        <v>2.400659629489541</v>
      </c>
      <c r="AW46" s="78">
        <f t="shared" si="40"/>
        <v>2.464239927312196</v>
      </c>
      <c r="AX46" s="78">
        <f t="shared" si="40"/>
        <v>2.5314491596500464</v>
      </c>
      <c r="AY46" s="78">
        <f t="shared" si="40"/>
        <v>2.5912526353440337</v>
      </c>
      <c r="AZ46" s="78">
        <f t="shared" si="40"/>
        <v>2.6198745765359823</v>
      </c>
      <c r="BA46" s="78">
        <f t="shared" si="40"/>
        <v>2.6478367114524404</v>
      </c>
      <c r="BB46" s="78">
        <f t="shared" si="40"/>
        <v>2.7238054408959349</v>
      </c>
      <c r="BC46" s="78">
        <f t="shared" si="28"/>
        <v>2.7651343408762008</v>
      </c>
      <c r="BD46" s="592">
        <v>0.30499999999999999</v>
      </c>
      <c r="BE46" s="592">
        <v>5.17</v>
      </c>
      <c r="BF46" s="592">
        <v>0</v>
      </c>
      <c r="BG46" s="592">
        <v>8.23</v>
      </c>
      <c r="BH46" s="592">
        <v>0.13</v>
      </c>
      <c r="BI46" s="592">
        <v>5</v>
      </c>
      <c r="BJ46" s="28"/>
      <c r="BK46" s="8">
        <v>1709.8389999999999</v>
      </c>
      <c r="BL46" s="8">
        <v>1843.625</v>
      </c>
      <c r="BM46" s="8">
        <v>1387.2849999999999</v>
      </c>
      <c r="BN46" s="8">
        <v>4513.2939999999999</v>
      </c>
      <c r="BO46" s="8">
        <v>1028.345</v>
      </c>
      <c r="BP46" s="8">
        <v>1193.5830000000001</v>
      </c>
      <c r="BQ46" s="8">
        <v>413.76</v>
      </c>
      <c r="BR46" s="8">
        <v>638.07500000000005</v>
      </c>
      <c r="BS46" s="407">
        <v>556.19740000000002</v>
      </c>
      <c r="BT46" s="407">
        <v>317.17700000000002</v>
      </c>
      <c r="BU46" s="408">
        <f t="shared" si="29"/>
        <v>158.58850000000001</v>
      </c>
      <c r="BV46" s="601">
        <v>0</v>
      </c>
      <c r="BW46" s="602">
        <v>58.158999999999779</v>
      </c>
      <c r="BX46" s="722">
        <v>144.20100000000005</v>
      </c>
      <c r="BY46" s="28"/>
      <c r="BZ46" s="315">
        <v>80.37</v>
      </c>
      <c r="CA46" s="315">
        <v>385.68</v>
      </c>
      <c r="CB46" s="315">
        <v>265.42</v>
      </c>
      <c r="CC46" s="315">
        <v>123.58</v>
      </c>
      <c r="CD46" s="315">
        <v>92.2</v>
      </c>
      <c r="CE46" s="315">
        <v>273.86</v>
      </c>
      <c r="CF46" s="315">
        <v>57.37</v>
      </c>
      <c r="CG46" s="315">
        <v>26.29</v>
      </c>
      <c r="CH46" s="8">
        <v>25.005132818254687</v>
      </c>
      <c r="CI46" s="8">
        <v>75.327358000000004</v>
      </c>
      <c r="CJ46" s="1">
        <v>9.8516200000000005</v>
      </c>
      <c r="CK46" s="1">
        <v>26.4282</v>
      </c>
      <c r="CL46" s="1">
        <v>7.06724</v>
      </c>
      <c r="CM46" s="1">
        <v>9.6647500000000015</v>
      </c>
      <c r="CN46" s="28"/>
      <c r="CO46" s="78">
        <f t="shared" si="41"/>
        <v>19.246259259907376</v>
      </c>
      <c r="CP46" s="78">
        <f t="shared" si="41"/>
        <v>19.416318167500794</v>
      </c>
      <c r="CQ46" s="78">
        <f t="shared" si="41"/>
        <v>19.647971056591896</v>
      </c>
      <c r="CR46" s="78">
        <f t="shared" si="41"/>
        <v>19.831499976667956</v>
      </c>
      <c r="CS46" s="78">
        <f t="shared" si="41"/>
        <v>19.978652031638262</v>
      </c>
      <c r="CT46" s="78">
        <f t="shared" si="41"/>
        <v>20.042125549761433</v>
      </c>
      <c r="CU46" s="78">
        <f t="shared" si="41"/>
        <v>20.052110588084329</v>
      </c>
      <c r="CV46" s="78">
        <f t="shared" si="30"/>
        <v>20.097062839043854</v>
      </c>
      <c r="CW46" s="592">
        <v>0.28499999999999998</v>
      </c>
      <c r="CX46" s="592">
        <v>0</v>
      </c>
      <c r="CY46" s="592">
        <v>0.41</v>
      </c>
      <c r="CZ46" s="592">
        <v>0</v>
      </c>
      <c r="DA46" s="592">
        <v>100</v>
      </c>
      <c r="DB46" s="592">
        <v>0</v>
      </c>
      <c r="DC46" s="28"/>
      <c r="DD46" s="8">
        <v>346.16699999999997</v>
      </c>
      <c r="DE46" s="8">
        <v>567.00600000000009</v>
      </c>
      <c r="DF46" s="8">
        <v>1136.9460000000004</v>
      </c>
      <c r="DG46" s="8">
        <v>728.62899999999991</v>
      </c>
      <c r="DH46" s="8">
        <v>1065.9159999999997</v>
      </c>
      <c r="DI46" s="8">
        <v>1831.0920000000001</v>
      </c>
      <c r="DJ46" s="8">
        <v>2191.6769999999992</v>
      </c>
      <c r="DK46" s="8">
        <v>1387.2539999999999</v>
      </c>
      <c r="DL46" s="8">
        <v>416.44299999999998</v>
      </c>
      <c r="DM46" s="8">
        <v>813.16300000000024</v>
      </c>
      <c r="DN46" s="1">
        <v>541.99383924113806</v>
      </c>
      <c r="DO46" s="1">
        <v>549.37099999999975</v>
      </c>
      <c r="DP46" s="1">
        <v>1583.5420000000001</v>
      </c>
      <c r="DQ46" s="394">
        <v>1716.3457100000001</v>
      </c>
      <c r="DR46" s="28"/>
      <c r="DS46" s="8">
        <v>2.9575</v>
      </c>
      <c r="DT46" s="8">
        <v>0.42</v>
      </c>
      <c r="DU46" s="8">
        <v>3.09</v>
      </c>
      <c r="DV46" s="8">
        <v>0.64</v>
      </c>
      <c r="DW46" s="8">
        <v>4.3201999999999998</v>
      </c>
      <c r="DX46" s="8">
        <v>11.04</v>
      </c>
      <c r="DY46" s="8">
        <v>0.25</v>
      </c>
      <c r="DZ46" s="8">
        <v>4.875</v>
      </c>
      <c r="EA46" s="8">
        <v>1831.7300200000002</v>
      </c>
      <c r="EB46" s="8">
        <v>8003.9582140000002</v>
      </c>
      <c r="EC46" s="281">
        <v>1765.133022221883</v>
      </c>
      <c r="ED46" s="395">
        <v>1831.7034229205697</v>
      </c>
      <c r="EE46" s="393">
        <v>860.39840000000004</v>
      </c>
      <c r="EF46" s="393">
        <v>233.732</v>
      </c>
      <c r="EH46" s="65"/>
      <c r="EI46" s="249"/>
    </row>
    <row r="47" spans="1:139" s="26" customFormat="1">
      <c r="A47" s="27" t="s">
        <v>29</v>
      </c>
      <c r="B47" s="28"/>
      <c r="C47" s="8">
        <f t="shared" si="42"/>
        <v>2552.9712453596039</v>
      </c>
      <c r="D47" s="8">
        <f t="shared" si="43"/>
        <v>3737.1112937663665</v>
      </c>
      <c r="E47" s="8">
        <f t="shared" si="44"/>
        <v>1786.5622924139932</v>
      </c>
      <c r="F47" s="8">
        <f t="shared" si="45"/>
        <v>1040.1229673273406</v>
      </c>
      <c r="G47" s="8">
        <f t="shared" si="46"/>
        <v>1118.7132846512013</v>
      </c>
      <c r="H47" s="8">
        <f t="shared" si="47"/>
        <v>1137.9600759695834</v>
      </c>
      <c r="I47" s="8">
        <f t="shared" si="48"/>
        <v>1290.3677324566131</v>
      </c>
      <c r="J47" s="8">
        <f t="shared" si="49"/>
        <v>797.44449205492765</v>
      </c>
      <c r="K47" s="8">
        <f t="shared" si="50"/>
        <v>302.55453919999997</v>
      </c>
      <c r="L47" s="8">
        <f t="shared" si="51"/>
        <v>122.88850499999999</v>
      </c>
      <c r="M47" s="8">
        <f t="shared" si="52"/>
        <v>129.86410533668231</v>
      </c>
      <c r="N47" s="8">
        <f t="shared" si="25"/>
        <v>115.89921067336464</v>
      </c>
      <c r="O47" s="8">
        <f t="shared" si="53"/>
        <v>129.44205883227716</v>
      </c>
      <c r="P47" s="8">
        <f t="shared" si="27"/>
        <v>128.60196063330082</v>
      </c>
      <c r="Q47" s="28"/>
      <c r="R47" s="78">
        <f t="shared" si="39"/>
        <v>9.1359982679792701E-2</v>
      </c>
      <c r="S47" s="78">
        <f t="shared" si="39"/>
        <v>9.2924583232511071E-2</v>
      </c>
      <c r="T47" s="78">
        <f t="shared" si="39"/>
        <v>9.4794274143222848E-2</v>
      </c>
      <c r="U47" s="78">
        <f t="shared" si="39"/>
        <v>9.6618876478903742E-2</v>
      </c>
      <c r="V47" s="78">
        <f t="shared" si="39"/>
        <v>9.8501796971510819E-2</v>
      </c>
      <c r="W47" s="78">
        <f t="shared" si="39"/>
        <v>0.10038255753237987</v>
      </c>
      <c r="X47" s="78">
        <f t="shared" si="39"/>
        <v>0.10259351765769667</v>
      </c>
      <c r="Y47" s="78">
        <f t="shared" si="31"/>
        <v>0.10440948026642555</v>
      </c>
      <c r="Z47" s="592">
        <v>0</v>
      </c>
      <c r="AA47" s="592">
        <v>0.53</v>
      </c>
      <c r="AB47" s="592">
        <v>0</v>
      </c>
      <c r="AC47" s="592">
        <v>0</v>
      </c>
      <c r="AD47" s="592">
        <v>0</v>
      </c>
      <c r="AE47" s="592">
        <v>0</v>
      </c>
      <c r="AF47" s="28"/>
      <c r="AG47" s="73">
        <f>('Basel data'!F306+'Basel data'!F260)/2</f>
        <v>244.86275000000001</v>
      </c>
      <c r="AH47" s="73">
        <f>('Basel data'!F260+'Basel data'!F214)/2</f>
        <v>183.27781099999999</v>
      </c>
      <c r="AI47" s="73">
        <f>('Basel data'!F214+'Basel data'!F168)/2</f>
        <v>206.586511</v>
      </c>
      <c r="AJ47" s="73">
        <f>('Basel data'!F168+'Basel data'!F122)/2</f>
        <v>122.5437</v>
      </c>
      <c r="AK47" s="8">
        <v>138.67974999999998</v>
      </c>
      <c r="AL47" s="315">
        <v>46.752999999999986</v>
      </c>
      <c r="AM47" s="8">
        <v>73.414500000000004</v>
      </c>
      <c r="AN47" s="315">
        <v>27.349779999999999</v>
      </c>
      <c r="AO47" s="282">
        <v>2.6850000000000001</v>
      </c>
      <c r="AP47" s="8">
        <v>38.658000000000001</v>
      </c>
      <c r="AQ47" s="1">
        <v>20.032</v>
      </c>
      <c r="AR47" s="282">
        <v>64.478000000000009</v>
      </c>
      <c r="AS47" s="282">
        <v>15.1745</v>
      </c>
      <c r="AT47" s="282">
        <v>0.4365</v>
      </c>
      <c r="AU47" s="28"/>
      <c r="AV47" s="78">
        <f t="shared" si="40"/>
        <v>8.6760376924088931E-2</v>
      </c>
      <c r="AW47" s="78">
        <f t="shared" si="40"/>
        <v>8.9058183133798194E-2</v>
      </c>
      <c r="AX47" s="78">
        <f t="shared" si="40"/>
        <v>9.1487139850019744E-2</v>
      </c>
      <c r="AY47" s="78">
        <f t="shared" si="40"/>
        <v>9.3648450861728724E-2</v>
      </c>
      <c r="AZ47" s="78">
        <f t="shared" si="40"/>
        <v>9.4682854229706626E-2</v>
      </c>
      <c r="BA47" s="78">
        <f t="shared" si="40"/>
        <v>9.5693412051045923E-2</v>
      </c>
      <c r="BB47" s="78">
        <f t="shared" si="40"/>
        <v>9.8438938955400623E-2</v>
      </c>
      <c r="BC47" s="78">
        <f t="shared" si="28"/>
        <v>9.9932574661228804E-2</v>
      </c>
      <c r="BD47" s="592">
        <v>0</v>
      </c>
      <c r="BE47" s="592">
        <v>0</v>
      </c>
      <c r="BF47" s="592">
        <v>0</v>
      </c>
      <c r="BG47" s="592">
        <v>0.5</v>
      </c>
      <c r="BH47" s="592">
        <v>0</v>
      </c>
      <c r="BI47" s="592">
        <v>2</v>
      </c>
      <c r="BJ47" s="28"/>
      <c r="BK47" s="8">
        <v>590.78</v>
      </c>
      <c r="BL47" s="8">
        <v>3144.4920000000002</v>
      </c>
      <c r="BM47" s="8">
        <v>339.29599999999999</v>
      </c>
      <c r="BN47" s="8">
        <v>68.700999999999993</v>
      </c>
      <c r="BO47" s="8">
        <v>96.562999999999988</v>
      </c>
      <c r="BP47" s="8">
        <v>75.055000000000007</v>
      </c>
      <c r="BQ47" s="8">
        <v>56.302999999999997</v>
      </c>
      <c r="BR47" s="8">
        <v>34.808999999999997</v>
      </c>
      <c r="BS47" s="407">
        <v>4.9889999999999999</v>
      </c>
      <c r="BT47" s="407">
        <v>41.582999999999998</v>
      </c>
      <c r="BU47" s="408">
        <f t="shared" si="29"/>
        <v>44.616605336682312</v>
      </c>
      <c r="BV47" s="601">
        <v>47.650210673364626</v>
      </c>
      <c r="BW47" s="602">
        <v>99.989508832277167</v>
      </c>
      <c r="BX47" s="722">
        <v>101.54010463330083</v>
      </c>
      <c r="BY47" s="28"/>
      <c r="BZ47" s="315">
        <v>27.619999999999997</v>
      </c>
      <c r="CA47" s="315">
        <v>15.649999999999999</v>
      </c>
      <c r="CB47" s="315">
        <v>125.14</v>
      </c>
      <c r="CC47" s="315">
        <v>142.94999999999999</v>
      </c>
      <c r="CD47" s="315">
        <v>123.92</v>
      </c>
      <c r="CE47" s="315">
        <v>124.38</v>
      </c>
      <c r="CF47" s="315">
        <v>182.17000000000002</v>
      </c>
      <c r="CG47" s="315">
        <v>48.5</v>
      </c>
      <c r="CH47" s="8">
        <v>45.674539200000005</v>
      </c>
      <c r="CI47" s="8">
        <v>12.477504999999999</v>
      </c>
      <c r="CJ47" s="1">
        <v>0.26550000000000001</v>
      </c>
      <c r="CK47" s="1">
        <v>1E-3</v>
      </c>
      <c r="CL47" s="1">
        <v>1.0499999999999999E-3</v>
      </c>
      <c r="CM47" s="1">
        <v>0.51635600000000004</v>
      </c>
      <c r="CN47" s="28"/>
      <c r="CO47" s="78">
        <f t="shared" si="41"/>
        <v>0</v>
      </c>
      <c r="CP47" s="78">
        <f t="shared" si="41"/>
        <v>0</v>
      </c>
      <c r="CQ47" s="78">
        <f t="shared" si="41"/>
        <v>0</v>
      </c>
      <c r="CR47" s="78">
        <f t="shared" si="41"/>
        <v>0</v>
      </c>
      <c r="CS47" s="78">
        <f t="shared" si="41"/>
        <v>0</v>
      </c>
      <c r="CT47" s="78">
        <f t="shared" si="41"/>
        <v>0</v>
      </c>
      <c r="CU47" s="78">
        <f t="shared" si="41"/>
        <v>0</v>
      </c>
      <c r="CV47" s="78">
        <f t="shared" si="30"/>
        <v>0</v>
      </c>
      <c r="CW47" s="592">
        <v>0</v>
      </c>
      <c r="CX47" s="592">
        <v>0</v>
      </c>
      <c r="CY47" s="592">
        <v>0</v>
      </c>
      <c r="CZ47" s="592">
        <v>0</v>
      </c>
      <c r="DA47" s="592">
        <v>0</v>
      </c>
      <c r="DB47" s="592">
        <v>0</v>
      </c>
      <c r="DC47" s="28"/>
      <c r="DD47" s="8">
        <v>100.64399999999996</v>
      </c>
      <c r="DE47" s="8">
        <v>45.897000000000013</v>
      </c>
      <c r="DF47" s="8">
        <v>63.501999999999995</v>
      </c>
      <c r="DG47" s="8">
        <v>55.378</v>
      </c>
      <c r="DH47" s="8">
        <v>51.347000000000008</v>
      </c>
      <c r="DI47" s="8">
        <v>36.661999999999999</v>
      </c>
      <c r="DJ47" s="8">
        <v>15.893999999999995</v>
      </c>
      <c r="DK47" s="8">
        <v>13.268999999999998</v>
      </c>
      <c r="DL47" s="8">
        <v>0.81</v>
      </c>
      <c r="DM47" s="8">
        <v>25.85</v>
      </c>
      <c r="DN47" s="1">
        <v>64.59</v>
      </c>
      <c r="DO47" s="1">
        <v>0.26999999999999957</v>
      </c>
      <c r="DP47" s="1">
        <v>5.6449999999999996</v>
      </c>
      <c r="DQ47" s="394">
        <v>11.831999999999999</v>
      </c>
      <c r="DR47" s="28"/>
      <c r="DS47" s="8">
        <v>1588.886375</v>
      </c>
      <c r="DT47" s="8">
        <v>347.61250000000001</v>
      </c>
      <c r="DU47" s="8">
        <v>1051.8515</v>
      </c>
      <c r="DV47" s="8">
        <v>650.36</v>
      </c>
      <c r="DW47" s="8">
        <v>708.01035000000002</v>
      </c>
      <c r="DX47" s="8">
        <v>854.91399999999999</v>
      </c>
      <c r="DY47" s="8">
        <v>962.38519999999994</v>
      </c>
      <c r="DZ47" s="8">
        <v>673.31236999999999</v>
      </c>
      <c r="EA47" s="8">
        <v>248.39599999999996</v>
      </c>
      <c r="EB47" s="8">
        <v>3.79</v>
      </c>
      <c r="EC47" s="281">
        <v>0.36000000000000004</v>
      </c>
      <c r="ED47" s="395">
        <v>3</v>
      </c>
      <c r="EE47" s="393">
        <v>8.6319999999999997</v>
      </c>
      <c r="EF47" s="393">
        <v>12.276999999999999</v>
      </c>
      <c r="EH47" s="65"/>
      <c r="EI47" s="249"/>
    </row>
    <row r="48" spans="1:139" s="26" customFormat="1">
      <c r="A48" s="27" t="s">
        <v>30</v>
      </c>
      <c r="B48" s="28"/>
      <c r="C48" s="8">
        <f t="shared" si="42"/>
        <v>2165.4933416634321</v>
      </c>
      <c r="D48" s="8">
        <f t="shared" si="43"/>
        <v>410.95032047579411</v>
      </c>
      <c r="E48" s="8">
        <f t="shared" si="44"/>
        <v>369.56664487780972</v>
      </c>
      <c r="F48" s="8">
        <f t="shared" si="45"/>
        <v>5689.6705329927136</v>
      </c>
      <c r="G48" s="8">
        <f t="shared" ca="1" si="46"/>
        <v>5186.2593959043334</v>
      </c>
      <c r="H48" s="8">
        <f t="shared" ca="1" si="47"/>
        <v>1175.2566559269119</v>
      </c>
      <c r="I48" s="8">
        <f t="shared" ca="1" si="48"/>
        <v>1106.1916552677505</v>
      </c>
      <c r="J48" s="8">
        <f t="shared" si="49"/>
        <v>740.2973233538487</v>
      </c>
      <c r="K48" s="8">
        <f t="shared" si="50"/>
        <v>576.84387100000004</v>
      </c>
      <c r="L48" s="8">
        <f t="shared" si="51"/>
        <v>290.55599999999993</v>
      </c>
      <c r="M48" s="8">
        <f t="shared" si="52"/>
        <v>594.49630000000002</v>
      </c>
      <c r="N48" s="8">
        <f t="shared" si="25"/>
        <v>1857.0426799999998</v>
      </c>
      <c r="O48" s="8">
        <f t="shared" si="53"/>
        <v>696.36799999999994</v>
      </c>
      <c r="P48" s="8">
        <f t="shared" si="27"/>
        <v>1433.6455999999998</v>
      </c>
      <c r="Q48" s="28"/>
      <c r="R48" s="78">
        <f t="shared" si="39"/>
        <v>5.7229272169228608E-2</v>
      </c>
      <c r="S48" s="78">
        <f t="shared" si="39"/>
        <v>5.8209361572063516E-2</v>
      </c>
      <c r="T48" s="78">
        <f t="shared" si="39"/>
        <v>5.938056418028298E-2</v>
      </c>
      <c r="U48" s="78">
        <f t="shared" si="39"/>
        <v>6.052352262452082E-2</v>
      </c>
      <c r="V48" s="78">
        <f t="shared" si="39"/>
        <v>6.1703012442531291E-2</v>
      </c>
      <c r="W48" s="78">
        <f t="shared" si="39"/>
        <v>6.2881149246698326E-2</v>
      </c>
      <c r="X48" s="78">
        <f t="shared" si="39"/>
        <v>6.4266128042179793E-2</v>
      </c>
      <c r="Y48" s="78">
        <f t="shared" si="31"/>
        <v>6.5403674431043918E-2</v>
      </c>
      <c r="Z48" s="592">
        <v>0</v>
      </c>
      <c r="AA48" s="592">
        <v>0</v>
      </c>
      <c r="AB48" s="592">
        <v>0.33200000000000002</v>
      </c>
      <c r="AC48" s="592">
        <v>0</v>
      </c>
      <c r="AD48" s="592">
        <v>0</v>
      </c>
      <c r="AE48" s="592">
        <v>0</v>
      </c>
      <c r="AF48" s="28"/>
      <c r="AG48" s="73">
        <f>('Basel data'!F274+'Basel data'!F228)/2</f>
        <v>54.253599999999999</v>
      </c>
      <c r="AH48" s="73">
        <f>('Basel data'!F228+'Basel data'!F182)/2</f>
        <v>58.614399999999996</v>
      </c>
      <c r="AI48" s="73">
        <f>('Basel data'!F182+'Basel data'!F136)/2</f>
        <v>12.8573</v>
      </c>
      <c r="AJ48" s="73">
        <f>('Basel data'!F136+'Basel data'!F90)/2</f>
        <v>67.862899999999996</v>
      </c>
      <c r="AK48" s="313">
        <f ca="1">111.44+'NEPM data'!K15-SUM('NEPM data'!H209:M209)</f>
        <v>125.14</v>
      </c>
      <c r="AL48" s="317">
        <f ca="1">15.9695+'NEPM data'!L15-SUM('NEPM data'!H194:M194)</f>
        <v>70.169499999999999</v>
      </c>
      <c r="AM48" s="313">
        <f ca="1">14.24+'NEPM data'!M15-40</f>
        <v>743.06000000000006</v>
      </c>
      <c r="AN48" s="317">
        <f>19.312+97+64-24</f>
        <v>156.31200000000001</v>
      </c>
      <c r="AO48" s="282">
        <v>118.99799999999999</v>
      </c>
      <c r="AP48" s="313">
        <f>0+42</f>
        <v>42</v>
      </c>
      <c r="AQ48" s="1">
        <v>38.172000000000004</v>
      </c>
      <c r="AR48" s="282">
        <v>598.06359999999995</v>
      </c>
      <c r="AS48" s="282">
        <v>133.78</v>
      </c>
      <c r="AT48" s="282">
        <v>29.16</v>
      </c>
      <c r="AU48" s="28"/>
      <c r="AV48" s="78">
        <f t="shared" si="40"/>
        <v>0</v>
      </c>
      <c r="AW48" s="78">
        <f t="shared" si="40"/>
        <v>0</v>
      </c>
      <c r="AX48" s="78">
        <f t="shared" si="40"/>
        <v>0</v>
      </c>
      <c r="AY48" s="78">
        <f t="shared" si="40"/>
        <v>0</v>
      </c>
      <c r="AZ48" s="78">
        <f t="shared" si="40"/>
        <v>0</v>
      </c>
      <c r="BA48" s="78">
        <f t="shared" si="40"/>
        <v>0</v>
      </c>
      <c r="BB48" s="78">
        <f t="shared" si="40"/>
        <v>0</v>
      </c>
      <c r="BC48" s="78">
        <f t="shared" si="28"/>
        <v>0</v>
      </c>
      <c r="BD48" s="592">
        <v>0</v>
      </c>
      <c r="BE48" s="592">
        <v>0</v>
      </c>
      <c r="BF48" s="592">
        <v>0</v>
      </c>
      <c r="BG48" s="592">
        <v>0</v>
      </c>
      <c r="BH48" s="592">
        <v>0</v>
      </c>
      <c r="BI48" s="721">
        <v>0</v>
      </c>
      <c r="BJ48" s="28"/>
      <c r="BK48" s="8">
        <v>2042.9900000000002</v>
      </c>
      <c r="BL48" s="8">
        <v>158.15</v>
      </c>
      <c r="BM48" s="8">
        <v>151.04400000000001</v>
      </c>
      <c r="BN48" s="8">
        <v>5285.4509999999991</v>
      </c>
      <c r="BO48" s="8">
        <v>4717.5820000000003</v>
      </c>
      <c r="BP48" s="8">
        <v>263.80700000000002</v>
      </c>
      <c r="BQ48" s="8">
        <v>214.59100000000001</v>
      </c>
      <c r="BR48" s="8">
        <v>185.40599999999998</v>
      </c>
      <c r="BS48" s="407">
        <v>68.974000000000046</v>
      </c>
      <c r="BT48" s="407">
        <v>82.756999999999977</v>
      </c>
      <c r="BU48" s="408">
        <f t="shared" si="29"/>
        <v>214.97449999999998</v>
      </c>
      <c r="BV48" s="601">
        <v>347.19200000000001</v>
      </c>
      <c r="BW48" s="602">
        <v>1.2400000000000091</v>
      </c>
      <c r="BX48" s="722">
        <v>88.59399999999998</v>
      </c>
      <c r="BY48" s="28"/>
      <c r="BZ48" s="315">
        <v>38.779999999999994</v>
      </c>
      <c r="CA48" s="315">
        <v>15.68</v>
      </c>
      <c r="CB48" s="315">
        <v>142.97</v>
      </c>
      <c r="CC48" s="315">
        <v>203.75</v>
      </c>
      <c r="CD48" s="315">
        <v>257.94</v>
      </c>
      <c r="CE48" s="315">
        <v>780.05</v>
      </c>
      <c r="CF48" s="315">
        <v>62.01</v>
      </c>
      <c r="CG48" s="315">
        <v>305.08</v>
      </c>
      <c r="CH48" s="8">
        <v>310.28187100000002</v>
      </c>
      <c r="CI48" s="8">
        <v>133.30199999999999</v>
      </c>
      <c r="CJ48" s="1">
        <v>236.2278</v>
      </c>
      <c r="CK48" s="1">
        <v>908.50607999999988</v>
      </c>
      <c r="CL48" s="1">
        <v>510.28</v>
      </c>
      <c r="CM48" s="1">
        <v>433.9812</v>
      </c>
      <c r="CN48" s="28"/>
      <c r="CO48" s="78">
        <f t="shared" si="41"/>
        <v>15.640512391262929</v>
      </c>
      <c r="CP48" s="78">
        <f t="shared" si="41"/>
        <v>15.778711114222055</v>
      </c>
      <c r="CQ48" s="78">
        <f t="shared" si="41"/>
        <v>15.966964313629422</v>
      </c>
      <c r="CR48" s="78">
        <f t="shared" si="41"/>
        <v>16.116109470090262</v>
      </c>
      <c r="CS48" s="78">
        <f t="shared" si="41"/>
        <v>16.235692891890949</v>
      </c>
      <c r="CT48" s="78">
        <f t="shared" si="41"/>
        <v>16.287274777665008</v>
      </c>
      <c r="CU48" s="78">
        <f t="shared" si="41"/>
        <v>16.295389139708433</v>
      </c>
      <c r="CV48" s="78">
        <f t="shared" si="30"/>
        <v>16.331919679417634</v>
      </c>
      <c r="CW48" s="592">
        <v>31.83</v>
      </c>
      <c r="CX48" s="592">
        <v>0</v>
      </c>
      <c r="CY48" s="592">
        <v>0</v>
      </c>
      <c r="CZ48" s="592">
        <v>0</v>
      </c>
      <c r="DA48" s="592">
        <v>50</v>
      </c>
      <c r="DB48" s="592">
        <v>0</v>
      </c>
      <c r="DC48" s="28"/>
      <c r="DD48" s="8">
        <v>10.975</v>
      </c>
      <c r="DE48" s="8">
        <v>62.984999999999999</v>
      </c>
      <c r="DF48" s="8">
        <v>40.524999999999991</v>
      </c>
      <c r="DG48" s="8">
        <v>8.57</v>
      </c>
      <c r="DH48" s="8">
        <v>37.120000000000005</v>
      </c>
      <c r="DI48" s="8">
        <v>7.4200000000000017</v>
      </c>
      <c r="DJ48" s="8">
        <v>4.8890000000000002</v>
      </c>
      <c r="DK48" s="8">
        <v>34.339999999999996</v>
      </c>
      <c r="DL48" s="8">
        <v>11.5</v>
      </c>
      <c r="DM48" s="8">
        <v>22.330000000000002</v>
      </c>
      <c r="DN48" s="1">
        <v>94.9</v>
      </c>
      <c r="DO48" s="1">
        <v>0.48</v>
      </c>
      <c r="DP48" s="1">
        <v>0.57599999999999996</v>
      </c>
      <c r="DQ48" s="394">
        <v>0.57599999999999996</v>
      </c>
      <c r="DR48" s="28"/>
      <c r="DS48" s="8">
        <v>2.7969999999999997</v>
      </c>
      <c r="DT48" s="8">
        <v>99.683999999999983</v>
      </c>
      <c r="DU48" s="8">
        <v>6.1440000000000001</v>
      </c>
      <c r="DV48" s="8">
        <v>107.86</v>
      </c>
      <c r="DW48" s="8">
        <v>32.18</v>
      </c>
      <c r="DX48" s="8">
        <v>37.459999999999994</v>
      </c>
      <c r="DY48" s="8">
        <v>65.281999999999996</v>
      </c>
      <c r="DZ48" s="8">
        <v>42.762</v>
      </c>
      <c r="EA48" s="8">
        <v>35.26</v>
      </c>
      <c r="EB48" s="8">
        <v>10.167</v>
      </c>
      <c r="EC48" s="281">
        <v>9.89</v>
      </c>
      <c r="ED48" s="395">
        <v>2.8010000000000002</v>
      </c>
      <c r="EE48" s="393">
        <v>0.49199999999999994</v>
      </c>
      <c r="EF48" s="393">
        <v>881.33439999999996</v>
      </c>
      <c r="EH48" s="65"/>
      <c r="EI48" s="249"/>
    </row>
    <row r="49" spans="1:139" s="26" customFormat="1">
      <c r="A49" s="27" t="s">
        <v>31</v>
      </c>
      <c r="B49" s="27"/>
      <c r="C49" s="8">
        <f t="shared" si="42"/>
        <v>195698.62653139484</v>
      </c>
      <c r="D49" s="8">
        <f t="shared" si="43"/>
        <v>237400.87515378889</v>
      </c>
      <c r="E49" s="8">
        <f t="shared" si="44"/>
        <v>262944.95354498673</v>
      </c>
      <c r="F49" s="8">
        <f t="shared" si="45"/>
        <v>334591.82085457881</v>
      </c>
      <c r="G49" s="8">
        <f t="shared" si="46"/>
        <v>291385.66010352602</v>
      </c>
      <c r="H49" s="8">
        <f t="shared" si="47"/>
        <v>342347.17212545406</v>
      </c>
      <c r="I49" s="8">
        <f t="shared" si="48"/>
        <v>361299.42527502292</v>
      </c>
      <c r="J49" s="8">
        <f t="shared" si="49"/>
        <v>307581.6813244301</v>
      </c>
      <c r="K49" s="8">
        <f t="shared" si="50"/>
        <v>291373.53129511711</v>
      </c>
      <c r="L49" s="8">
        <f t="shared" si="51"/>
        <v>339904.57621461491</v>
      </c>
      <c r="M49" s="8">
        <f t="shared" si="52"/>
        <v>332339.4657107871</v>
      </c>
      <c r="N49" s="8">
        <f t="shared" si="25"/>
        <v>318657.78327464097</v>
      </c>
      <c r="O49" s="8">
        <f t="shared" si="53"/>
        <v>349079.0901111433</v>
      </c>
      <c r="P49" s="8">
        <f t="shared" si="27"/>
        <v>372125.40509067982</v>
      </c>
      <c r="Q49" s="27"/>
      <c r="R49" s="78">
        <f t="shared" si="39"/>
        <v>758.16607166159361</v>
      </c>
      <c r="S49" s="78">
        <f t="shared" si="39"/>
        <v>771.15017060709863</v>
      </c>
      <c r="T49" s="78">
        <f t="shared" si="39"/>
        <v>786.66611283274528</v>
      </c>
      <c r="U49" s="78">
        <f t="shared" si="39"/>
        <v>801.8078799895568</v>
      </c>
      <c r="V49" s="78">
        <f t="shared" si="39"/>
        <v>817.43361010965214</v>
      </c>
      <c r="W49" s="78">
        <f t="shared" si="39"/>
        <v>833.04141567555166</v>
      </c>
      <c r="X49" s="78">
        <f t="shared" si="39"/>
        <v>851.3894374641178</v>
      </c>
      <c r="Y49" s="78">
        <f t="shared" si="31"/>
        <v>866.45950640414662</v>
      </c>
      <c r="Z49" s="592">
        <v>697.83500000000004</v>
      </c>
      <c r="AA49" s="592">
        <v>772.14300000000003</v>
      </c>
      <c r="AB49" s="592">
        <v>1367.7640000000001</v>
      </c>
      <c r="AC49" s="592">
        <v>946.62250000000006</v>
      </c>
      <c r="AD49" s="592">
        <v>613.92900000000009</v>
      </c>
      <c r="AE49" s="592">
        <v>2009.78</v>
      </c>
      <c r="AF49" s="27"/>
      <c r="AG49" s="73">
        <f>('Basel data'!F277+'Basel data'!F231)/2</f>
        <v>65000</v>
      </c>
      <c r="AH49" s="73">
        <f>('Basel data'!F231+'Basel data'!F185)/2</f>
        <v>71667.031699999992</v>
      </c>
      <c r="AI49" s="73">
        <f>('Basel data'!F185+'Basel data'!F139)/2</f>
        <v>104997.5817</v>
      </c>
      <c r="AJ49" s="73">
        <f>('Basel data'!F139+'Basel data'!F93)/2</f>
        <v>147942.54999999999</v>
      </c>
      <c r="AK49" s="597">
        <f>20663.87149495+'D110 and J100'!H87</f>
        <v>82852.176556996797</v>
      </c>
      <c r="AL49" s="597">
        <f>38123.5617163+'D110 and J100'!$I$87</f>
        <v>99691.800933563543</v>
      </c>
      <c r="AM49" s="597">
        <f>34228.0594850001+'D110 and J100'!$J$87</f>
        <v>83109.444535580842</v>
      </c>
      <c r="AN49" s="597">
        <f>32535+'D110 and J100'!$K$87</f>
        <v>74321.314822627406</v>
      </c>
      <c r="AO49" s="597">
        <f>25061+'D110 and J100'!$L$87</f>
        <v>66446.745476683223</v>
      </c>
      <c r="AP49" s="54">
        <f>AVERAGE(AO49,AQ49)</f>
        <v>91579.259506390154</v>
      </c>
      <c r="AQ49" s="591">
        <v>116711.77353609708</v>
      </c>
      <c r="AR49" s="598">
        <v>109906.038523086</v>
      </c>
      <c r="AS49" s="598">
        <v>142243.41597956055</v>
      </c>
      <c r="AT49" s="598">
        <v>88509.390467451405</v>
      </c>
      <c r="AU49" s="27"/>
      <c r="AV49" s="78">
        <f t="shared" si="40"/>
        <v>2890.9089779258484</v>
      </c>
      <c r="AW49" s="78">
        <f t="shared" si="40"/>
        <v>2967.4732903076897</v>
      </c>
      <c r="AX49" s="78">
        <f t="shared" si="40"/>
        <v>3048.4076180142415</v>
      </c>
      <c r="AY49" s="78">
        <f t="shared" si="40"/>
        <v>3120.4238266725592</v>
      </c>
      <c r="AZ49" s="78">
        <f t="shared" si="40"/>
        <v>3154.8907813966089</v>
      </c>
      <c r="BA49" s="78">
        <f t="shared" si="40"/>
        <v>3188.5631878798017</v>
      </c>
      <c r="BB49" s="78">
        <f t="shared" si="40"/>
        <v>3280.0458284391034</v>
      </c>
      <c r="BC49" s="78">
        <f t="shared" si="28"/>
        <v>3329.8146863534403</v>
      </c>
      <c r="BD49" s="592">
        <v>2015.3272000000002</v>
      </c>
      <c r="BE49" s="592">
        <v>535.58299999999997</v>
      </c>
      <c r="BF49" s="592">
        <v>1922</v>
      </c>
      <c r="BG49" s="592">
        <v>3537.5065</v>
      </c>
      <c r="BH49" s="592">
        <v>8649.89</v>
      </c>
      <c r="BI49" s="592">
        <v>10587</v>
      </c>
      <c r="BJ49" s="27"/>
      <c r="BK49" s="8">
        <v>42000.311000000002</v>
      </c>
      <c r="BL49" s="8">
        <v>64921.304000000004</v>
      </c>
      <c r="BM49" s="8">
        <v>45478.003000000004</v>
      </c>
      <c r="BN49" s="8">
        <v>63390.495999999999</v>
      </c>
      <c r="BO49" s="8">
        <v>69494.684999999998</v>
      </c>
      <c r="BP49" s="8">
        <v>90058.622000000003</v>
      </c>
      <c r="BQ49" s="8">
        <v>89081.297000000006</v>
      </c>
      <c r="BR49" s="8">
        <v>53216.25155000067</v>
      </c>
      <c r="BS49" s="407">
        <v>46138.107490000009</v>
      </c>
      <c r="BT49" s="407">
        <v>36167.79086000083</v>
      </c>
      <c r="BU49" s="408">
        <f t="shared" si="29"/>
        <v>37020.744770366931</v>
      </c>
      <c r="BV49" s="701">
        <v>37873.698680733032</v>
      </c>
      <c r="BW49" s="702">
        <v>25181.777950002259</v>
      </c>
      <c r="BX49" s="724">
        <v>67766.444370002719</v>
      </c>
      <c r="BY49" s="27"/>
      <c r="BZ49" s="315">
        <v>1365.94</v>
      </c>
      <c r="CA49" s="315">
        <v>1314.43</v>
      </c>
      <c r="CB49" s="315">
        <v>3836.4</v>
      </c>
      <c r="CC49" s="315">
        <v>2545.9299999999998</v>
      </c>
      <c r="CD49" s="315">
        <v>3215.28</v>
      </c>
      <c r="CE49" s="315">
        <v>3099.26</v>
      </c>
      <c r="CF49" s="315">
        <v>2518.62</v>
      </c>
      <c r="CG49" s="315">
        <v>1460.99</v>
      </c>
      <c r="CH49" s="8">
        <v>5492.0384380922342</v>
      </c>
      <c r="CI49" s="8">
        <v>7723.1195945999807</v>
      </c>
      <c r="CJ49" s="1">
        <v>14512.830777999967</v>
      </c>
      <c r="CK49" s="1">
        <v>19224.047050499961</v>
      </c>
      <c r="CL49" s="1">
        <v>14270.423975249993</v>
      </c>
      <c r="CM49" s="1">
        <v>15886.955710900016</v>
      </c>
      <c r="CN49" s="27"/>
      <c r="CO49" s="78">
        <f t="shared" si="41"/>
        <v>74.001814292436123</v>
      </c>
      <c r="CP49" s="78">
        <f t="shared" si="41"/>
        <v>74.655690327698636</v>
      </c>
      <c r="CQ49" s="78">
        <f t="shared" si="41"/>
        <v>75.54639505360538</v>
      </c>
      <c r="CR49" s="78">
        <f t="shared" si="41"/>
        <v>76.252063250076802</v>
      </c>
      <c r="CS49" s="78">
        <f t="shared" si="41"/>
        <v>76.817862499562509</v>
      </c>
      <c r="CT49" s="78">
        <f t="shared" si="41"/>
        <v>77.061918003398688</v>
      </c>
      <c r="CU49" s="78">
        <f t="shared" si="41"/>
        <v>77.100310448480897</v>
      </c>
      <c r="CV49" s="78">
        <f t="shared" si="30"/>
        <v>77.273151730654817</v>
      </c>
      <c r="CW49" s="592">
        <v>63.921999999999997</v>
      </c>
      <c r="CX49" s="592">
        <v>127.327</v>
      </c>
      <c r="CY49" s="592">
        <v>67.656000000000006</v>
      </c>
      <c r="CZ49" s="592">
        <v>40.620000000000005</v>
      </c>
      <c r="DA49" s="592">
        <v>87.646999999999991</v>
      </c>
      <c r="DB49" s="592">
        <v>20076.419999999998</v>
      </c>
      <c r="DC49" s="27"/>
      <c r="DD49" s="591">
        <f>15246.344+'D110 and J100'!D88</f>
        <v>34825.030227714982</v>
      </c>
      <c r="DE49" s="591">
        <f>14517.136+'D110 and J100'!E88</f>
        <v>43309.990513046425</v>
      </c>
      <c r="DF49" s="591">
        <f>16730.318+'D110 and J100'!F88</f>
        <v>49254.983890286152</v>
      </c>
      <c r="DG49" s="591">
        <f>16749.941+'D110 and J100'!G88</f>
        <v>47930.220309566532</v>
      </c>
      <c r="DH49" s="591">
        <f>21024.353+'D110 and J100'!H88</f>
        <v>52118.505531023402</v>
      </c>
      <c r="DI49" s="591">
        <f>21826.011+'D110 and J100'!I88</f>
        <v>52610.130608631771</v>
      </c>
      <c r="DJ49" s="591">
        <f>33093.842+'D110 and J100'!J88</f>
        <v>57534.534525290364</v>
      </c>
      <c r="DK49" s="591">
        <f>26816.8650000001+'D110 and J100'!K88</f>
        <v>47710.022411313803</v>
      </c>
      <c r="DL49" s="591">
        <f>26048.47895+'D110 and J100'!L88</f>
        <v>46741.351688341616</v>
      </c>
      <c r="DM49" s="591">
        <f>30983.4579999999+'D110 and J100'!M88</f>
        <v>59775.306813623953</v>
      </c>
      <c r="DN49" s="591">
        <v>53337.291535860488</v>
      </c>
      <c r="DO49" s="591">
        <v>54182.564517825958</v>
      </c>
      <c r="DP49" s="591">
        <v>66461.774808730363</v>
      </c>
      <c r="DQ49" s="728">
        <v>71701.164472725693</v>
      </c>
      <c r="DR49" s="27"/>
      <c r="DS49" s="8">
        <v>48784.268439799998</v>
      </c>
      <c r="DT49" s="8">
        <v>52374.839789500009</v>
      </c>
      <c r="DU49" s="8">
        <v>55467.364828800019</v>
      </c>
      <c r="DV49" s="8">
        <v>68784.140775100022</v>
      </c>
      <c r="DW49" s="8">
        <v>79655.870761500002</v>
      </c>
      <c r="DX49" s="8">
        <v>92788.692061700014</v>
      </c>
      <c r="DY49" s="8">
        <v>124846.9936378</v>
      </c>
      <c r="DZ49" s="8">
        <v>126599.55519600002</v>
      </c>
      <c r="EA49" s="8">
        <v>123778.20400199998</v>
      </c>
      <c r="EB49" s="8">
        <v>143224.04644000001</v>
      </c>
      <c r="EC49" s="281">
        <v>107399.40509046265</v>
      </c>
      <c r="ED49" s="395">
        <v>92946.68550249601</v>
      </c>
      <c r="EE49" s="393">
        <v>91570.231397600131</v>
      </c>
      <c r="EF49" s="393">
        <v>95588.250069600006</v>
      </c>
      <c r="EH49" s="65"/>
      <c r="EI49" s="249"/>
    </row>
    <row r="50" spans="1:139" s="26" customFormat="1">
      <c r="A50" s="27" t="s">
        <v>32</v>
      </c>
      <c r="B50" s="28"/>
      <c r="C50" s="8">
        <f t="shared" si="42"/>
        <v>318700.1605420023</v>
      </c>
      <c r="D50" s="8">
        <f t="shared" si="43"/>
        <v>307773.69444551546</v>
      </c>
      <c r="E50" s="8">
        <f t="shared" si="44"/>
        <v>316697.40579913772</v>
      </c>
      <c r="F50" s="8">
        <f t="shared" si="45"/>
        <v>352040.8910294082</v>
      </c>
      <c r="G50" s="8">
        <f t="shared" si="46"/>
        <v>403299.68893721979</v>
      </c>
      <c r="H50" s="8">
        <f t="shared" si="47"/>
        <v>439704.50332971051</v>
      </c>
      <c r="I50" s="8">
        <f t="shared" si="48"/>
        <v>466307.14165037777</v>
      </c>
      <c r="J50" s="8">
        <f t="shared" si="49"/>
        <v>439829.61376903055</v>
      </c>
      <c r="K50" s="8">
        <f t="shared" si="50"/>
        <v>317894.59926502965</v>
      </c>
      <c r="L50" s="8">
        <f t="shared" si="51"/>
        <v>291692.81469000038</v>
      </c>
      <c r="M50" s="8">
        <f t="shared" si="52"/>
        <v>280158.35854320682</v>
      </c>
      <c r="N50" s="8">
        <f t="shared" si="25"/>
        <v>271517.27086682053</v>
      </c>
      <c r="O50" s="8">
        <f t="shared" si="53"/>
        <v>352523.84693135129</v>
      </c>
      <c r="P50" s="8">
        <f t="shared" si="27"/>
        <v>275177.84602000227</v>
      </c>
      <c r="Q50" s="28"/>
      <c r="R50" s="78">
        <f t="shared" ref="R50:X59" si="54">S50*R$8/S$8</f>
        <v>418.37261874899201</v>
      </c>
      <c r="S50" s="78">
        <f t="shared" si="54"/>
        <v>425.53752849761975</v>
      </c>
      <c r="T50" s="78">
        <f t="shared" si="54"/>
        <v>434.09956473735178</v>
      </c>
      <c r="U50" s="78">
        <f t="shared" si="54"/>
        <v>442.45512299123038</v>
      </c>
      <c r="V50" s="78">
        <f t="shared" si="54"/>
        <v>451.07774259208117</v>
      </c>
      <c r="W50" s="78">
        <f t="shared" si="54"/>
        <v>459.69047103193287</v>
      </c>
      <c r="X50" s="78">
        <f t="shared" si="54"/>
        <v>469.81531070950189</v>
      </c>
      <c r="Y50" s="78">
        <f t="shared" si="31"/>
        <v>478.13130431938464</v>
      </c>
      <c r="Z50" s="592">
        <v>570.11</v>
      </c>
      <c r="AA50" s="592">
        <v>727.54500000000007</v>
      </c>
      <c r="AB50" s="592">
        <v>351.78499999999997</v>
      </c>
      <c r="AC50" s="592">
        <v>276.53953999999999</v>
      </c>
      <c r="AD50" s="592">
        <v>501.09499999999997</v>
      </c>
      <c r="AE50" s="592">
        <v>485.26639999999998</v>
      </c>
      <c r="AF50" s="28"/>
      <c r="AG50" s="73">
        <f>('Basel data'!F278+'Basel data'!F232)/2</f>
        <v>95474.323598051938</v>
      </c>
      <c r="AH50" s="73">
        <f>('Basel data'!F232+'Basel data'!F186)/2</f>
        <v>82591.690006499994</v>
      </c>
      <c r="AI50" s="73">
        <f>('Basel data'!F186+'Basel data'!F140)/2</f>
        <v>82618.379406499997</v>
      </c>
      <c r="AJ50" s="73">
        <f>('Basel data'!F140+'Basel data'!F94)/2</f>
        <v>101364.05439999999</v>
      </c>
      <c r="AK50" s="8">
        <v>88067.361499999999</v>
      </c>
      <c r="AL50" s="315">
        <v>128553.82876000024</v>
      </c>
      <c r="AM50" s="8">
        <v>106790.98450000012</v>
      </c>
      <c r="AN50" s="315">
        <v>100255.60272800016</v>
      </c>
      <c r="AO50" s="532">
        <v>53934</v>
      </c>
      <c r="AP50" s="535">
        <f>83285.23708-(0.62*3910)</f>
        <v>80861.037080000009</v>
      </c>
      <c r="AQ50" s="534">
        <v>67286.768885361045</v>
      </c>
      <c r="AR50" s="532">
        <v>70537.27482151211</v>
      </c>
      <c r="AS50" s="532">
        <v>69086.960639999816</v>
      </c>
      <c r="AT50" s="532">
        <v>52020.563529999898</v>
      </c>
      <c r="AU50" s="28"/>
      <c r="AV50" s="78">
        <f t="shared" ref="AV50:BB59" si="55">AW50*AV$8/AW$8</f>
        <v>3282.481168738489</v>
      </c>
      <c r="AW50" s="78">
        <f t="shared" si="55"/>
        <v>3369.4160793530464</v>
      </c>
      <c r="AX50" s="78">
        <f t="shared" si="55"/>
        <v>3461.3129217060259</v>
      </c>
      <c r="AY50" s="78">
        <f t="shared" si="55"/>
        <v>3543.0836901978355</v>
      </c>
      <c r="AZ50" s="78">
        <f t="shared" si="55"/>
        <v>3582.2191768870871</v>
      </c>
      <c r="BA50" s="78">
        <f t="shared" si="55"/>
        <v>3620.4524941693521</v>
      </c>
      <c r="BB50" s="78">
        <f t="shared" si="55"/>
        <v>3724.3264131323176</v>
      </c>
      <c r="BC50" s="78">
        <f t="shared" si="28"/>
        <v>3780.8364382285222</v>
      </c>
      <c r="BD50" s="592">
        <v>2463.2600000000002</v>
      </c>
      <c r="BE50" s="592">
        <v>475.51499999999999</v>
      </c>
      <c r="BF50" s="592">
        <v>1846</v>
      </c>
      <c r="BG50" s="592">
        <v>713.91200000000003</v>
      </c>
      <c r="BH50" s="592">
        <v>13418.25</v>
      </c>
      <c r="BI50" s="592">
        <v>9378.6</v>
      </c>
      <c r="BJ50" s="28"/>
      <c r="BK50" s="8">
        <v>95311.620999999999</v>
      </c>
      <c r="BL50" s="8">
        <v>94583.756999999998</v>
      </c>
      <c r="BM50" s="8">
        <v>108791.607</v>
      </c>
      <c r="BN50" s="8">
        <v>115196.44</v>
      </c>
      <c r="BO50" s="8">
        <v>153864.497</v>
      </c>
      <c r="BP50" s="8">
        <v>152876.88699999999</v>
      </c>
      <c r="BQ50" s="8">
        <v>192607.234</v>
      </c>
      <c r="BR50" s="8">
        <v>209511.66999999667</v>
      </c>
      <c r="BS50" s="407">
        <v>158729.201</v>
      </c>
      <c r="BT50" s="407">
        <v>110043.07200000038</v>
      </c>
      <c r="BU50" s="408">
        <f t="shared" si="29"/>
        <v>119035.60074584509</v>
      </c>
      <c r="BV50" s="701">
        <v>128028.12949168982</v>
      </c>
      <c r="BW50" s="702">
        <v>177826.77164735156</v>
      </c>
      <c r="BX50" s="724">
        <v>107955.75400000234</v>
      </c>
      <c r="BY50" s="28"/>
      <c r="BZ50" s="315">
        <v>225.13</v>
      </c>
      <c r="CA50" s="315">
        <v>2970.75</v>
      </c>
      <c r="CB50" s="315">
        <v>3131.8599999999997</v>
      </c>
      <c r="CC50" s="315">
        <v>4986.1500000000005</v>
      </c>
      <c r="CD50" s="315">
        <v>8892.0000000000018</v>
      </c>
      <c r="CE50" s="315">
        <v>3133.0499999999997</v>
      </c>
      <c r="CF50" s="315">
        <v>3451.55</v>
      </c>
      <c r="CG50" s="315">
        <v>4650.0599999999995</v>
      </c>
      <c r="CH50" s="8">
        <v>3629.5446650296581</v>
      </c>
      <c r="CI50" s="536">
        <f>21084.18611-(0.62*199)</f>
        <v>20960.806109999998</v>
      </c>
      <c r="CJ50" s="537">
        <v>24786.047600000002</v>
      </c>
      <c r="CK50" s="537">
        <v>20484.658639054949</v>
      </c>
      <c r="CL50" s="537">
        <v>17826.966024999969</v>
      </c>
      <c r="CM50" s="537">
        <v>18782.405699999967</v>
      </c>
      <c r="CN50" s="28"/>
      <c r="CO50" s="78">
        <f t="shared" ref="CO50:CU59" si="56">CP50*CO$8/CP$8</f>
        <v>137.9461464630557</v>
      </c>
      <c r="CP50" s="78">
        <f t="shared" si="56"/>
        <v>139.16503116461934</v>
      </c>
      <c r="CQ50" s="78">
        <f t="shared" si="56"/>
        <v>140.82538619442604</v>
      </c>
      <c r="CR50" s="78">
        <f t="shared" si="56"/>
        <v>142.14081621888582</v>
      </c>
      <c r="CS50" s="78">
        <f t="shared" si="56"/>
        <v>143.19551774052434</v>
      </c>
      <c r="CT50" s="78">
        <f t="shared" si="56"/>
        <v>143.6504595091715</v>
      </c>
      <c r="CU50" s="78">
        <f t="shared" si="56"/>
        <v>143.72202653631837</v>
      </c>
      <c r="CV50" s="78">
        <f t="shared" si="30"/>
        <v>144.04421848598332</v>
      </c>
      <c r="CW50" s="592">
        <v>270.45</v>
      </c>
      <c r="CX50" s="592">
        <v>117.5</v>
      </c>
      <c r="CY50" s="592">
        <v>141.17400000000001</v>
      </c>
      <c r="CZ50" s="592">
        <v>93.6</v>
      </c>
      <c r="DA50" s="592">
        <v>99</v>
      </c>
      <c r="DB50" s="592">
        <v>177.98000000000002</v>
      </c>
      <c r="DC50" s="28"/>
      <c r="DD50" s="8">
        <v>93590.377999999822</v>
      </c>
      <c r="DE50" s="8">
        <v>90448.617000000217</v>
      </c>
      <c r="DF50" s="8">
        <v>83339.084999999948</v>
      </c>
      <c r="DG50" s="8">
        <v>91677.951000000307</v>
      </c>
      <c r="DH50" s="8">
        <v>95844.764000000083</v>
      </c>
      <c r="DI50" s="8">
        <v>89995.700999999826</v>
      </c>
      <c r="DJ50" s="8">
        <v>103767.79999999952</v>
      </c>
      <c r="DK50" s="8">
        <v>61439.609999999833</v>
      </c>
      <c r="DL50" s="536">
        <v>55046</v>
      </c>
      <c r="DM50" s="536">
        <f>56297.7-24130</f>
        <v>32167.699999999997</v>
      </c>
      <c r="DN50" s="537">
        <v>20472</v>
      </c>
      <c r="DO50" s="537">
        <v>14874.354563363846</v>
      </c>
      <c r="DP50" s="537">
        <v>33848.32236299997</v>
      </c>
      <c r="DQ50" s="538">
        <v>52348.490886000043</v>
      </c>
      <c r="DR50" s="28"/>
      <c r="DS50" s="8">
        <v>30259.908009999996</v>
      </c>
      <c r="DT50" s="8">
        <v>33244.7618</v>
      </c>
      <c r="DU50" s="8">
        <v>34780.236519999991</v>
      </c>
      <c r="DV50" s="8">
        <v>34688.615999999995</v>
      </c>
      <c r="DW50" s="8">
        <v>52454.574000000001</v>
      </c>
      <c r="DX50" s="8">
        <v>60921.243144999993</v>
      </c>
      <c r="DY50" s="8">
        <v>55351.7094</v>
      </c>
      <c r="DZ50" s="8">
        <v>59569.659080000005</v>
      </c>
      <c r="EA50" s="536">
        <v>43252.033599999995</v>
      </c>
      <c r="EB50" s="536">
        <f>56757.4995-(0.62*16803)</f>
        <v>46339.639499999997</v>
      </c>
      <c r="EC50" s="537">
        <v>46238.982312000691</v>
      </c>
      <c r="ED50" s="538">
        <v>36508.801811199781</v>
      </c>
      <c r="EE50" s="539">
        <v>39916.481256000021</v>
      </c>
      <c r="EF50" s="539">
        <v>34028.785503999999</v>
      </c>
      <c r="EH50" s="65"/>
      <c r="EI50" s="249"/>
    </row>
    <row r="51" spans="1:139" s="26" customFormat="1">
      <c r="A51" s="27" t="s">
        <v>33</v>
      </c>
      <c r="B51" s="27"/>
      <c r="C51" s="8">
        <f t="shared" si="42"/>
        <v>5958.1157976929962</v>
      </c>
      <c r="D51" s="8">
        <f t="shared" si="43"/>
        <v>5470.8297053948727</v>
      </c>
      <c r="E51" s="8">
        <f t="shared" si="44"/>
        <v>1698.6964379496353</v>
      </c>
      <c r="F51" s="8">
        <f t="shared" si="45"/>
        <v>2394.3326588260584</v>
      </c>
      <c r="G51" s="8">
        <f t="shared" si="46"/>
        <v>2016.0966650326125</v>
      </c>
      <c r="H51" s="8">
        <f t="shared" si="47"/>
        <v>2656.9567755640055</v>
      </c>
      <c r="I51" s="8">
        <f t="shared" si="48"/>
        <v>19093.726396584811</v>
      </c>
      <c r="J51" s="8">
        <f t="shared" si="49"/>
        <v>14534.731244415627</v>
      </c>
      <c r="K51" s="8">
        <f t="shared" si="50"/>
        <v>4376.4997559999993</v>
      </c>
      <c r="L51" s="8">
        <f t="shared" si="51"/>
        <v>2069.8152499999992</v>
      </c>
      <c r="M51" s="8">
        <f t="shared" si="52"/>
        <v>1813.6694190838859</v>
      </c>
      <c r="N51" s="8">
        <f t="shared" si="25"/>
        <v>2176.3209256135342</v>
      </c>
      <c r="O51" s="8">
        <f t="shared" si="53"/>
        <v>2374.25347035494</v>
      </c>
      <c r="P51" s="8">
        <f t="shared" si="27"/>
        <v>1175.5974257079288</v>
      </c>
      <c r="Q51" s="27"/>
      <c r="R51" s="78">
        <f t="shared" si="54"/>
        <v>0.20771467760217008</v>
      </c>
      <c r="S51" s="78">
        <f t="shared" si="54"/>
        <v>0.21127192980221846</v>
      </c>
      <c r="T51" s="78">
        <f t="shared" si="54"/>
        <v>0.21552283083506318</v>
      </c>
      <c r="U51" s="78">
        <f t="shared" si="54"/>
        <v>0.21967121916429994</v>
      </c>
      <c r="V51" s="78">
        <f t="shared" si="54"/>
        <v>0.22395219877485001</v>
      </c>
      <c r="W51" s="78">
        <f t="shared" si="54"/>
        <v>0.22822826759720327</v>
      </c>
      <c r="X51" s="78">
        <f t="shared" si="54"/>
        <v>0.23325507316514052</v>
      </c>
      <c r="Y51" s="78">
        <f t="shared" si="31"/>
        <v>0.23738381834159014</v>
      </c>
      <c r="Z51" s="592">
        <v>0</v>
      </c>
      <c r="AA51" s="592">
        <v>0</v>
      </c>
      <c r="AB51" s="592">
        <v>0.20499999999999999</v>
      </c>
      <c r="AC51" s="592">
        <v>0</v>
      </c>
      <c r="AD51" s="592">
        <v>1</v>
      </c>
      <c r="AE51" s="592">
        <v>6.1479999999999997</v>
      </c>
      <c r="AF51" s="27"/>
      <c r="AG51" s="73">
        <f>('Basel data'!F280+'Basel data'!F234)/2</f>
        <v>129.42599999999999</v>
      </c>
      <c r="AH51" s="73">
        <f>('Basel data'!F234+'Basel data'!F188)/2</f>
        <v>867.92596800000001</v>
      </c>
      <c r="AI51" s="73">
        <f>('Basel data'!F188+'Basel data'!F142)/2</f>
        <v>939.22101799999996</v>
      </c>
      <c r="AJ51" s="73">
        <f>('Basel data'!F142+'Basel data'!F96)/2</f>
        <v>187.87504999999999</v>
      </c>
      <c r="AK51" s="8">
        <v>132.41425000000001</v>
      </c>
      <c r="AL51" s="315">
        <v>209.57</v>
      </c>
      <c r="AM51" s="8">
        <v>945.22862999999984</v>
      </c>
      <c r="AN51" s="315">
        <v>10088.338399999995</v>
      </c>
      <c r="AO51" s="282">
        <v>3966.2675799999988</v>
      </c>
      <c r="AP51" s="8">
        <v>1742.7637499999992</v>
      </c>
      <c r="AQ51" s="1">
        <v>1019.7144999999999</v>
      </c>
      <c r="AR51" s="282">
        <v>1631.5267874457627</v>
      </c>
      <c r="AS51" s="282">
        <v>1859.8218250000002</v>
      </c>
      <c r="AT51" s="282">
        <v>318.97377499999993</v>
      </c>
      <c r="AU51" s="27"/>
      <c r="AV51" s="78">
        <f t="shared" si="55"/>
        <v>0.69408301539271144</v>
      </c>
      <c r="AW51" s="78">
        <f t="shared" si="55"/>
        <v>0.71246546507038555</v>
      </c>
      <c r="AX51" s="78">
        <f t="shared" si="55"/>
        <v>0.73189711880015795</v>
      </c>
      <c r="AY51" s="78">
        <f t="shared" si="55"/>
        <v>0.74918760689382979</v>
      </c>
      <c r="AZ51" s="78">
        <f t="shared" si="55"/>
        <v>0.757462833837653</v>
      </c>
      <c r="BA51" s="78">
        <f t="shared" si="55"/>
        <v>0.76554729640836738</v>
      </c>
      <c r="BB51" s="78">
        <f t="shared" si="55"/>
        <v>0.78751151164320499</v>
      </c>
      <c r="BC51" s="78">
        <f t="shared" si="28"/>
        <v>0.79946059728983043</v>
      </c>
      <c r="BD51" s="592">
        <v>0</v>
      </c>
      <c r="BE51" s="592">
        <v>0</v>
      </c>
      <c r="BF51" s="592">
        <v>0</v>
      </c>
      <c r="BG51" s="592">
        <v>0</v>
      </c>
      <c r="BH51" s="592">
        <v>4</v>
      </c>
      <c r="BI51" s="721">
        <v>0</v>
      </c>
      <c r="BJ51" s="27"/>
      <c r="BK51" s="8">
        <v>285.52999999999997</v>
      </c>
      <c r="BL51" s="8">
        <v>291.93600000000004</v>
      </c>
      <c r="BM51" s="8">
        <v>128.46499999999997</v>
      </c>
      <c r="BN51" s="8">
        <v>895.58999999999992</v>
      </c>
      <c r="BO51" s="8">
        <v>1072.634</v>
      </c>
      <c r="BP51" s="8">
        <v>1672.239</v>
      </c>
      <c r="BQ51" s="8">
        <v>168.72</v>
      </c>
      <c r="BR51" s="8">
        <v>287.20699999999999</v>
      </c>
      <c r="BS51" s="407">
        <v>70.16</v>
      </c>
      <c r="BT51" s="407">
        <v>49.752499999999998</v>
      </c>
      <c r="BU51" s="408">
        <f t="shared" si="29"/>
        <v>182.9793190838858</v>
      </c>
      <c r="BV51" s="701">
        <v>316.2061381677716</v>
      </c>
      <c r="BW51" s="702">
        <v>268.8848953549404</v>
      </c>
      <c r="BX51" s="724">
        <v>193.33465070792872</v>
      </c>
      <c r="BY51" s="27"/>
      <c r="BZ51" s="315">
        <v>125</v>
      </c>
      <c r="CA51" s="315">
        <v>188.17</v>
      </c>
      <c r="CB51" s="315">
        <v>48</v>
      </c>
      <c r="CC51" s="315">
        <v>0.01</v>
      </c>
      <c r="CD51" s="315">
        <v>79.34</v>
      </c>
      <c r="CE51" s="315">
        <v>200.76</v>
      </c>
      <c r="CF51" s="315">
        <v>17005.27</v>
      </c>
      <c r="CG51" s="315">
        <v>4024.29</v>
      </c>
      <c r="CH51" s="8">
        <v>57.544226000000002</v>
      </c>
      <c r="CI51" s="8">
        <v>21.337</v>
      </c>
      <c r="CJ51" s="1">
        <v>28.976599999999998</v>
      </c>
      <c r="CK51" s="1">
        <v>29.085000000000001</v>
      </c>
      <c r="CL51" s="1">
        <v>32.236000000000004</v>
      </c>
      <c r="CM51" s="1">
        <v>38.161000000000001</v>
      </c>
      <c r="CN51" s="27"/>
      <c r="CO51" s="78">
        <f t="shared" si="56"/>
        <v>0</v>
      </c>
      <c r="CP51" s="78">
        <f t="shared" si="56"/>
        <v>0</v>
      </c>
      <c r="CQ51" s="78">
        <f t="shared" si="56"/>
        <v>0</v>
      </c>
      <c r="CR51" s="78">
        <f t="shared" si="56"/>
        <v>0</v>
      </c>
      <c r="CS51" s="78">
        <f t="shared" si="56"/>
        <v>0</v>
      </c>
      <c r="CT51" s="78">
        <f t="shared" si="56"/>
        <v>0</v>
      </c>
      <c r="CU51" s="78">
        <f t="shared" si="56"/>
        <v>0</v>
      </c>
      <c r="CV51" s="78">
        <f t="shared" si="30"/>
        <v>0</v>
      </c>
      <c r="CW51" s="592">
        <v>0</v>
      </c>
      <c r="CX51" s="592">
        <v>0</v>
      </c>
      <c r="CY51" s="592">
        <v>0</v>
      </c>
      <c r="CZ51" s="592">
        <v>0</v>
      </c>
      <c r="DA51" s="592">
        <v>0</v>
      </c>
      <c r="DB51" s="592">
        <v>0</v>
      </c>
      <c r="DC51" s="27"/>
      <c r="DD51" s="8">
        <v>5407.3140000000012</v>
      </c>
      <c r="DE51" s="8">
        <v>4113.3639999999996</v>
      </c>
      <c r="DF51" s="8">
        <v>577.55500000000006</v>
      </c>
      <c r="DG51" s="8">
        <v>1287.73</v>
      </c>
      <c r="DH51" s="8">
        <v>640.85800000000006</v>
      </c>
      <c r="DI51" s="8">
        <v>530.49400000000003</v>
      </c>
      <c r="DJ51" s="8">
        <v>963.57700000000023</v>
      </c>
      <c r="DK51" s="8">
        <v>122.03</v>
      </c>
      <c r="DL51" s="8">
        <v>145.68</v>
      </c>
      <c r="DM51" s="8">
        <v>196.41</v>
      </c>
      <c r="DN51" s="1">
        <v>398.46999999999997</v>
      </c>
      <c r="DO51" s="1">
        <v>125.73299999999995</v>
      </c>
      <c r="DP51" s="1">
        <v>103.68225</v>
      </c>
      <c r="DQ51" s="394">
        <v>495.87799999999993</v>
      </c>
      <c r="DR51" s="27"/>
      <c r="DS51" s="8">
        <v>9.9439999999999991</v>
      </c>
      <c r="DT51" s="8">
        <v>8.51</v>
      </c>
      <c r="DU51" s="8">
        <v>4.508</v>
      </c>
      <c r="DV51" s="8">
        <v>22.158750000000001</v>
      </c>
      <c r="DW51" s="8">
        <v>89.869</v>
      </c>
      <c r="DX51" s="8">
        <v>42.9</v>
      </c>
      <c r="DY51" s="8">
        <v>9.91</v>
      </c>
      <c r="DZ51" s="8">
        <v>11.828999999999999</v>
      </c>
      <c r="EA51" s="8">
        <v>136.84795</v>
      </c>
      <c r="EB51" s="8">
        <v>59.552</v>
      </c>
      <c r="EC51" s="281">
        <v>183.32400000000001</v>
      </c>
      <c r="ED51" s="395">
        <v>73.769999999999982</v>
      </c>
      <c r="EE51" s="393">
        <v>104.62849999999999</v>
      </c>
      <c r="EF51" s="393">
        <v>123.102</v>
      </c>
      <c r="EH51" s="65"/>
      <c r="EI51" s="249"/>
    </row>
    <row r="52" spans="1:139" s="26" customFormat="1" ht="15" customHeight="1">
      <c r="A52" s="27" t="s">
        <v>34</v>
      </c>
      <c r="B52" s="28"/>
      <c r="C52" s="8">
        <f t="shared" si="42"/>
        <v>175305.09819453955</v>
      </c>
      <c r="D52" s="8">
        <f t="shared" si="43"/>
        <v>161133.81105176866</v>
      </c>
      <c r="E52" s="8">
        <f t="shared" si="44"/>
        <v>151414.90355857427</v>
      </c>
      <c r="F52" s="8">
        <f t="shared" si="45"/>
        <v>159155.25902194474</v>
      </c>
      <c r="G52" s="8">
        <f t="shared" si="46"/>
        <v>167894.76865104155</v>
      </c>
      <c r="H52" s="8">
        <f t="shared" si="47"/>
        <v>182837.69329087206</v>
      </c>
      <c r="I52" s="8">
        <f t="shared" si="48"/>
        <v>254100.9011089385</v>
      </c>
      <c r="J52" s="8">
        <f t="shared" si="49"/>
        <v>212193.15847761763</v>
      </c>
      <c r="K52" s="8">
        <f t="shared" si="50"/>
        <v>311957.75666431634</v>
      </c>
      <c r="L52" s="8">
        <f t="shared" si="51"/>
        <v>217902.63017061376</v>
      </c>
      <c r="M52" s="8">
        <f t="shared" si="52"/>
        <v>212135.26408876179</v>
      </c>
      <c r="N52" s="8">
        <f t="shared" si="25"/>
        <v>237836.78170354001</v>
      </c>
      <c r="O52" s="8">
        <f t="shared" si="53"/>
        <v>264083.92948354548</v>
      </c>
      <c r="P52" s="8">
        <f t="shared" si="27"/>
        <v>235914.65257584021</v>
      </c>
      <c r="Q52" s="28"/>
      <c r="R52" s="78">
        <f t="shared" si="54"/>
        <v>0</v>
      </c>
      <c r="S52" s="78">
        <f t="shared" si="54"/>
        <v>0</v>
      </c>
      <c r="T52" s="78">
        <f t="shared" si="54"/>
        <v>0</v>
      </c>
      <c r="U52" s="78">
        <f t="shared" si="54"/>
        <v>0</v>
      </c>
      <c r="V52" s="78">
        <f t="shared" si="54"/>
        <v>0</v>
      </c>
      <c r="W52" s="78">
        <f t="shared" si="54"/>
        <v>0</v>
      </c>
      <c r="X52" s="78">
        <f t="shared" si="54"/>
        <v>0</v>
      </c>
      <c r="Y52" s="78">
        <f t="shared" si="31"/>
        <v>0</v>
      </c>
      <c r="Z52" s="592">
        <v>0</v>
      </c>
      <c r="AA52" s="592">
        <v>0</v>
      </c>
      <c r="AB52" s="592">
        <v>0</v>
      </c>
      <c r="AC52" s="592">
        <v>0</v>
      </c>
      <c r="AD52" s="592">
        <v>0</v>
      </c>
      <c r="AE52" s="592">
        <v>2008.24</v>
      </c>
      <c r="AF52" s="28"/>
      <c r="AG52" s="78">
        <f t="shared" ref="AG52:AM53" si="57">AH52*AG$8/AH$8</f>
        <v>146.33659401236037</v>
      </c>
      <c r="AH52" s="78">
        <f t="shared" si="57"/>
        <v>148.44322199376009</v>
      </c>
      <c r="AI52" s="78">
        <f t="shared" si="57"/>
        <v>150.98626172932154</v>
      </c>
      <c r="AJ52" s="78">
        <f t="shared" si="57"/>
        <v>153.13666458279101</v>
      </c>
      <c r="AK52" s="8">
        <v>154.82699999999997</v>
      </c>
      <c r="AL52" s="315">
        <v>327.60179999999986</v>
      </c>
      <c r="AM52" s="78">
        <f t="shared" si="57"/>
        <v>55243.472826669036</v>
      </c>
      <c r="AN52" s="78">
        <f t="shared" ref="AN52:AO53" si="58">AO52*AN$8/AO$8</f>
        <v>56024.916167588708</v>
      </c>
      <c r="AO52" s="78">
        <f t="shared" si="58"/>
        <v>56855.706949397871</v>
      </c>
      <c r="AP52" s="78">
        <f>AQ52*AP$8/AQ$8</f>
        <v>57668.929952159197</v>
      </c>
      <c r="AQ52" s="8">
        <v>58542.679209058842</v>
      </c>
      <c r="AR52" s="312">
        <v>59236.403546962618</v>
      </c>
      <c r="AS52" s="312">
        <v>41923.258675394551</v>
      </c>
      <c r="AT52" s="312">
        <v>43481.937197155632</v>
      </c>
      <c r="AU52" s="28"/>
      <c r="AV52" s="78">
        <f t="shared" si="55"/>
        <v>6033.6996595856026</v>
      </c>
      <c r="AW52" s="78">
        <f t="shared" si="55"/>
        <v>6193.4992482555199</v>
      </c>
      <c r="AX52" s="78">
        <f t="shared" si="55"/>
        <v>6362.4196221796337</v>
      </c>
      <c r="AY52" s="78">
        <f t="shared" si="55"/>
        <v>6512.7267321523932</v>
      </c>
      <c r="AZ52" s="78">
        <f t="shared" si="55"/>
        <v>6584.6637092669953</v>
      </c>
      <c r="BA52" s="78">
        <f t="shared" si="55"/>
        <v>6654.9423617899247</v>
      </c>
      <c r="BB52" s="78">
        <f t="shared" si="55"/>
        <v>6845.8784242586507</v>
      </c>
      <c r="BC52" s="78">
        <f t="shared" si="28"/>
        <v>6949.7524456645924</v>
      </c>
      <c r="BD52" s="36">
        <v>2874.7061148825396</v>
      </c>
      <c r="BE52" s="36">
        <v>1445.3450138092617</v>
      </c>
      <c r="BF52" s="36">
        <v>1842.7196190109487</v>
      </c>
      <c r="BG52" s="36">
        <v>1850.8067593300573</v>
      </c>
      <c r="BH52" s="36">
        <v>26758.63</v>
      </c>
      <c r="BI52" s="36">
        <v>1322.3148613580333</v>
      </c>
      <c r="BJ52" s="28"/>
      <c r="BK52" s="8">
        <v>113461.284</v>
      </c>
      <c r="BL52" s="8">
        <v>97771.054000000004</v>
      </c>
      <c r="BM52" s="8">
        <v>75004.790999999997</v>
      </c>
      <c r="BN52" s="8">
        <v>66862.519</v>
      </c>
      <c r="BO52" s="8">
        <v>73846.065000000002</v>
      </c>
      <c r="BP52" s="8">
        <v>97096.142999999996</v>
      </c>
      <c r="BQ52" s="8">
        <v>109830.27100000001</v>
      </c>
      <c r="BR52" s="8">
        <v>80791.753100000002</v>
      </c>
      <c r="BS52" s="407">
        <v>151709.9656</v>
      </c>
      <c r="BT52" s="407">
        <v>77959.151500000007</v>
      </c>
      <c r="BU52" s="408">
        <f t="shared" si="29"/>
        <v>79312.09498219972</v>
      </c>
      <c r="BV52" s="701">
        <v>80665.038464399433</v>
      </c>
      <c r="BW52" s="702">
        <v>93016.985439945274</v>
      </c>
      <c r="BX52" s="724">
        <v>94006.669513359579</v>
      </c>
      <c r="BY52" s="28"/>
      <c r="BZ52" s="319">
        <v>90.02</v>
      </c>
      <c r="CA52" s="319">
        <v>7.34</v>
      </c>
      <c r="CB52" s="319">
        <v>7.1099999999999994</v>
      </c>
      <c r="CC52" s="319">
        <v>0.65</v>
      </c>
      <c r="CD52" s="319">
        <v>0</v>
      </c>
      <c r="CE52" s="319">
        <v>0.2</v>
      </c>
      <c r="CF52" s="319">
        <v>8986.9700000000012</v>
      </c>
      <c r="CG52" s="319">
        <v>5502.26</v>
      </c>
      <c r="CH52" s="36">
        <v>19978.124774411288</v>
      </c>
      <c r="CI52" s="8">
        <v>468.89996200000007</v>
      </c>
      <c r="CJ52" s="1">
        <v>5020.6880999999994</v>
      </c>
      <c r="CK52" s="1">
        <v>2060.5750000000003</v>
      </c>
      <c r="CL52" s="1">
        <v>12927.356799999994</v>
      </c>
      <c r="CM52" s="1">
        <v>1309.4460000000004</v>
      </c>
      <c r="CN52" s="28"/>
      <c r="CO52" s="78">
        <f t="shared" si="56"/>
        <v>4120.0501409416202</v>
      </c>
      <c r="CP52" s="78">
        <f t="shared" si="56"/>
        <v>4156.4546815194453</v>
      </c>
      <c r="CQ52" s="78">
        <f t="shared" si="56"/>
        <v>4206.0446566652918</v>
      </c>
      <c r="CR52" s="78">
        <f t="shared" si="56"/>
        <v>4245.332725209676</v>
      </c>
      <c r="CS52" s="78">
        <f t="shared" si="56"/>
        <v>4276.833591774599</v>
      </c>
      <c r="CT52" s="78">
        <f t="shared" si="56"/>
        <v>4290.4213790821414</v>
      </c>
      <c r="CU52" s="78">
        <f t="shared" si="56"/>
        <v>4292.5588780108419</v>
      </c>
      <c r="CV52" s="78">
        <f t="shared" si="30"/>
        <v>4302.1818143643632</v>
      </c>
      <c r="CW52" s="36">
        <v>6089.4159256246348</v>
      </c>
      <c r="CX52" s="36">
        <v>4991.5299426453057</v>
      </c>
      <c r="CY52" s="36">
        <v>3891.3188200011045</v>
      </c>
      <c r="CZ52" s="36">
        <v>3932.0284328478724</v>
      </c>
      <c r="DA52" s="36">
        <v>2651.5034282056013</v>
      </c>
      <c r="DB52" s="36">
        <v>2901.1931979669976</v>
      </c>
      <c r="DC52" s="28"/>
      <c r="DD52" s="8">
        <v>41700.230999999971</v>
      </c>
      <c r="DE52" s="8">
        <v>39919.552999999942</v>
      </c>
      <c r="DF52" s="8">
        <v>50744.474999999991</v>
      </c>
      <c r="DG52" s="8">
        <v>70849.14799999987</v>
      </c>
      <c r="DH52" s="8">
        <v>72619.238999999972</v>
      </c>
      <c r="DI52" s="8">
        <v>62842.315999999992</v>
      </c>
      <c r="DJ52" s="8">
        <v>53834.338999999956</v>
      </c>
      <c r="DK52" s="8">
        <v>41892.533999999963</v>
      </c>
      <c r="DL52" s="8">
        <v>41406.701000000008</v>
      </c>
      <c r="DM52" s="8">
        <v>42314.242999999988</v>
      </c>
      <c r="DN52" s="1">
        <v>33348.476058491171</v>
      </c>
      <c r="DO52" s="1">
        <v>41522.595000000023</v>
      </c>
      <c r="DP52" s="1">
        <v>42296.559220000003</v>
      </c>
      <c r="DQ52" s="394">
        <v>56815.4876</v>
      </c>
      <c r="DR52" s="28"/>
      <c r="DS52" s="8">
        <v>9753.4768000000004</v>
      </c>
      <c r="DT52" s="8">
        <v>12937.466899999999</v>
      </c>
      <c r="DU52" s="8">
        <v>14939.077018</v>
      </c>
      <c r="DV52" s="8">
        <v>10531.745900000002</v>
      </c>
      <c r="DW52" s="8">
        <v>10413.14035</v>
      </c>
      <c r="DX52" s="8">
        <v>11626.068750000002</v>
      </c>
      <c r="DY52" s="8">
        <v>15067.410980000002</v>
      </c>
      <c r="DZ52" s="8">
        <v>16729.76095</v>
      </c>
      <c r="EA52" s="8">
        <v>33043.136299999998</v>
      </c>
      <c r="EB52" s="8">
        <v>33054.5308</v>
      </c>
      <c r="EC52" s="281">
        <v>30177.287299999996</v>
      </c>
      <c r="ED52" s="395">
        <v>48569.334500000004</v>
      </c>
      <c r="EE52" s="393">
        <v>44509.635920000001</v>
      </c>
      <c r="EF52" s="393">
        <v>34069.364205999998</v>
      </c>
      <c r="EH52" s="65"/>
      <c r="EI52" s="249"/>
    </row>
    <row r="53" spans="1:139" s="26" customFormat="1">
      <c r="A53" s="27" t="s">
        <v>60</v>
      </c>
      <c r="B53" s="28"/>
      <c r="C53" s="8">
        <f t="shared" si="42"/>
        <v>301102.73957031546</v>
      </c>
      <c r="D53" s="8">
        <f t="shared" si="43"/>
        <v>327809.72887456923</v>
      </c>
      <c r="E53" s="8">
        <f t="shared" si="44"/>
        <v>301448.02868081746</v>
      </c>
      <c r="F53" s="8">
        <f t="shared" si="45"/>
        <v>326635.10709669202</v>
      </c>
      <c r="G53" s="8">
        <f t="shared" si="46"/>
        <v>349691.82020493783</v>
      </c>
      <c r="H53" s="8">
        <f t="shared" si="47"/>
        <v>288763.56202832662</v>
      </c>
      <c r="I53" s="8">
        <f t="shared" si="48"/>
        <v>478780.64939915796</v>
      </c>
      <c r="J53" s="8">
        <f t="shared" si="49"/>
        <v>463629.93161961768</v>
      </c>
      <c r="K53" s="8">
        <f t="shared" si="50"/>
        <v>473745.73885148438</v>
      </c>
      <c r="L53" s="8">
        <f t="shared" si="51"/>
        <v>452599.68328003807</v>
      </c>
      <c r="M53" s="8">
        <f t="shared" si="52"/>
        <v>479015.0918377717</v>
      </c>
      <c r="N53" s="8">
        <f t="shared" si="25"/>
        <v>441319.92162814084</v>
      </c>
      <c r="O53" s="8">
        <f t="shared" si="53"/>
        <v>397342.60574747535</v>
      </c>
      <c r="P53" s="8">
        <f t="shared" si="27"/>
        <v>440845.15565686987</v>
      </c>
      <c r="Q53" s="28"/>
      <c r="R53" s="78">
        <f t="shared" si="54"/>
        <v>4706.2457492899975</v>
      </c>
      <c r="S53" s="78">
        <f t="shared" si="54"/>
        <v>4786.8433422905964</v>
      </c>
      <c r="T53" s="78">
        <f t="shared" si="54"/>
        <v>4883.1571182231501</v>
      </c>
      <c r="U53" s="78">
        <f t="shared" si="54"/>
        <v>4977.148237032131</v>
      </c>
      <c r="V53" s="78">
        <f t="shared" si="54"/>
        <v>5074.1435111626188</v>
      </c>
      <c r="W53" s="78">
        <f t="shared" si="54"/>
        <v>5171.0275202811981</v>
      </c>
      <c r="X53" s="78">
        <f t="shared" si="54"/>
        <v>5284.9211680951585</v>
      </c>
      <c r="Y53" s="78">
        <f t="shared" ref="Y53:Y71" si="59">AVERAGE(Z53:AD53)*Y$8/Z$8</f>
        <v>5378.4672268565091</v>
      </c>
      <c r="Z53" s="592">
        <v>5787.77</v>
      </c>
      <c r="AA53" s="592">
        <v>5292.42</v>
      </c>
      <c r="AB53" s="592">
        <v>6243.25</v>
      </c>
      <c r="AC53" s="592">
        <v>4916.78</v>
      </c>
      <c r="AD53" s="592">
        <v>5061.78</v>
      </c>
      <c r="AE53" s="592">
        <v>2614.48</v>
      </c>
      <c r="AF53" s="28"/>
      <c r="AG53" s="78">
        <f t="shared" si="57"/>
        <v>4938.6731421354434</v>
      </c>
      <c r="AH53" s="78">
        <f t="shared" si="57"/>
        <v>5009.7691458549989</v>
      </c>
      <c r="AI53" s="78">
        <f t="shared" si="57"/>
        <v>5095.5934888784523</v>
      </c>
      <c r="AJ53" s="78">
        <f t="shared" si="57"/>
        <v>5168.1668386196952</v>
      </c>
      <c r="AK53" s="8">
        <v>5225.2134999999998</v>
      </c>
      <c r="AL53" s="315">
        <v>16555.982799999998</v>
      </c>
      <c r="AM53" s="78">
        <f t="shared" si="57"/>
        <v>91367.471544462227</v>
      </c>
      <c r="AN53" s="78">
        <f t="shared" si="58"/>
        <v>92659.904814164634</v>
      </c>
      <c r="AO53" s="78">
        <f t="shared" si="58"/>
        <v>94033.95407704344</v>
      </c>
      <c r="AP53" s="78">
        <f t="shared" ref="AP53" si="60">AQ53*AP$8/AQ$8</f>
        <v>95378.947897349164</v>
      </c>
      <c r="AQ53" s="8">
        <v>96824.046409118222</v>
      </c>
      <c r="AR53" s="312">
        <v>98209.251345972647</v>
      </c>
      <c r="AS53" s="312">
        <v>57349.224475961943</v>
      </c>
      <c r="AT53" s="312">
        <v>86850.391112752754</v>
      </c>
      <c r="AU53" s="28"/>
      <c r="AV53" s="78">
        <f t="shared" si="55"/>
        <v>4202.8615885183481</v>
      </c>
      <c r="AW53" s="78">
        <f t="shared" si="55"/>
        <v>4314.1723250437972</v>
      </c>
      <c r="AX53" s="78">
        <f t="shared" si="55"/>
        <v>4431.8362776994345</v>
      </c>
      <c r="AY53" s="78">
        <f t="shared" si="55"/>
        <v>4536.5348896003625</v>
      </c>
      <c r="AZ53" s="78">
        <f t="shared" si="55"/>
        <v>4586.643641272939</v>
      </c>
      <c r="BA53" s="78">
        <f t="shared" si="55"/>
        <v>4635.597262740027</v>
      </c>
      <c r="BB53" s="78">
        <f t="shared" si="55"/>
        <v>4768.5965646754266</v>
      </c>
      <c r="BC53" s="78">
        <f t="shared" si="28"/>
        <v>4840.9515308226719</v>
      </c>
      <c r="BD53" s="36">
        <v>5633.4475718029644</v>
      </c>
      <c r="BE53" s="36">
        <v>4791.9553058607353</v>
      </c>
      <c r="BF53" s="36">
        <v>3047.6837124751933</v>
      </c>
      <c r="BG53" s="36">
        <v>3061.6422151555144</v>
      </c>
      <c r="BH53" s="36">
        <v>7686.3600000000006</v>
      </c>
      <c r="BI53" s="36">
        <v>2633.4128561543525</v>
      </c>
      <c r="BJ53" s="28"/>
      <c r="BK53" s="8">
        <v>129485.035</v>
      </c>
      <c r="BL53" s="8">
        <v>147121.772</v>
      </c>
      <c r="BM53" s="8">
        <v>108377.973</v>
      </c>
      <c r="BN53" s="8">
        <v>124362.514</v>
      </c>
      <c r="BO53" s="8">
        <v>139263.43400000001</v>
      </c>
      <c r="BP53" s="8">
        <v>58054.377</v>
      </c>
      <c r="BQ53" s="8">
        <v>133574.96699999998</v>
      </c>
      <c r="BR53" s="8">
        <v>140468.02579999471</v>
      </c>
      <c r="BS53" s="407">
        <v>128058.43909999999</v>
      </c>
      <c r="BT53" s="407">
        <v>99773.185500002233</v>
      </c>
      <c r="BU53" s="408">
        <f t="shared" si="29"/>
        <v>102122.43850348543</v>
      </c>
      <c r="BV53" s="701">
        <v>104471.69150696865</v>
      </c>
      <c r="BW53" s="702">
        <v>136402.53440388563</v>
      </c>
      <c r="BX53" s="724">
        <v>145226.6712000058</v>
      </c>
      <c r="BY53" s="28"/>
      <c r="BZ53" s="405">
        <f t="shared" ref="BZ53:CF53" si="61">CA53*BZ8/CA8</f>
        <v>36082.654561508054</v>
      </c>
      <c r="CA53" s="405">
        <f t="shared" si="61"/>
        <v>36479.903488208729</v>
      </c>
      <c r="CB53" s="405">
        <f t="shared" si="61"/>
        <v>36928.04206157849</v>
      </c>
      <c r="CC53" s="405">
        <f t="shared" si="61"/>
        <v>37406.386251749558</v>
      </c>
      <c r="CD53" s="405">
        <f t="shared" si="61"/>
        <v>37727.716700108751</v>
      </c>
      <c r="CE53" s="405">
        <f t="shared" si="61"/>
        <v>38069.916063518889</v>
      </c>
      <c r="CF53" s="405">
        <f t="shared" si="61"/>
        <v>38438.322901644169</v>
      </c>
      <c r="CG53" s="405">
        <f>CH53*CG8/CH8</f>
        <v>38789.581639029915</v>
      </c>
      <c r="CH53" s="36">
        <v>39150.338852701301</v>
      </c>
      <c r="CI53" s="536">
        <f>36675.5391-(0.43*657)</f>
        <v>36393.0291</v>
      </c>
      <c r="CJ53" s="537">
        <v>74549.803859999898</v>
      </c>
      <c r="CK53" s="537">
        <v>46819.937838000005</v>
      </c>
      <c r="CL53" s="537">
        <v>27505.596813999942</v>
      </c>
      <c r="CM53" s="537">
        <v>18926.421900999958</v>
      </c>
      <c r="CN53" s="28"/>
      <c r="CO53" s="78">
        <f t="shared" si="56"/>
        <v>7276.1365088637876</v>
      </c>
      <c r="CP53" s="78">
        <f t="shared" si="56"/>
        <v>7340.428058171532</v>
      </c>
      <c r="CQ53" s="78">
        <f t="shared" si="56"/>
        <v>7428.0054944378489</v>
      </c>
      <c r="CR53" s="78">
        <f t="shared" si="56"/>
        <v>7497.3894436907603</v>
      </c>
      <c r="CS53" s="78">
        <f t="shared" si="56"/>
        <v>7553.0209523940748</v>
      </c>
      <c r="CT53" s="78">
        <f t="shared" si="56"/>
        <v>7577.0174067868566</v>
      </c>
      <c r="CU53" s="78">
        <f t="shared" si="56"/>
        <v>7580.7922962810962</v>
      </c>
      <c r="CV53" s="78">
        <f t="shared" si="30"/>
        <v>7597.7867007492714</v>
      </c>
      <c r="CW53" s="36">
        <v>11933.186902936712</v>
      </c>
      <c r="CX53" s="36">
        <v>9189.7585768250428</v>
      </c>
      <c r="CY53" s="36">
        <v>6435.8727531923505</v>
      </c>
      <c r="CZ53" s="36">
        <v>6504.4414715431603</v>
      </c>
      <c r="DA53" s="36">
        <v>4004.9464786280791</v>
      </c>
      <c r="DB53" s="36">
        <v>5777.7762989576004</v>
      </c>
      <c r="DC53" s="28"/>
      <c r="DD53" s="8">
        <v>74499.412999999782</v>
      </c>
      <c r="DE53" s="8">
        <v>78759.977999999595</v>
      </c>
      <c r="DF53" s="8">
        <v>82580.18400000011</v>
      </c>
      <c r="DG53" s="8">
        <v>87399.867999999522</v>
      </c>
      <c r="DH53" s="8">
        <v>93677.101999999373</v>
      </c>
      <c r="DI53" s="8">
        <v>99511.321999999651</v>
      </c>
      <c r="DJ53" s="8">
        <v>141827.69699999993</v>
      </c>
      <c r="DK53" s="8">
        <v>111158.73600000003</v>
      </c>
      <c r="DL53" s="536">
        <v>118506</v>
      </c>
      <c r="DM53" s="536">
        <v>123284.7010000009</v>
      </c>
      <c r="DN53" s="537">
        <v>115756</v>
      </c>
      <c r="DO53" s="537">
        <v>116890.60470000003</v>
      </c>
      <c r="DP53" s="537">
        <v>97136.724327999662</v>
      </c>
      <c r="DQ53" s="538">
        <v>116014.43136999942</v>
      </c>
      <c r="DR53" s="28"/>
      <c r="DS53" s="8">
        <v>39911.720019999993</v>
      </c>
      <c r="DT53" s="8">
        <v>43996.862515000001</v>
      </c>
      <c r="DU53" s="8">
        <v>51723.237240000002</v>
      </c>
      <c r="DV53" s="8">
        <v>55287.099435999997</v>
      </c>
      <c r="DW53" s="8">
        <v>56584.545900000005</v>
      </c>
      <c r="DX53" s="8">
        <v>59188.321974999999</v>
      </c>
      <c r="DY53" s="8">
        <v>55937.880924000005</v>
      </c>
      <c r="DZ53" s="8">
        <v>62736.477908000001</v>
      </c>
      <c r="EA53" s="536">
        <v>70642.602347000007</v>
      </c>
      <c r="EB53" s="536">
        <f>88497.9159-(0.43*23261)</f>
        <v>78495.685900000011</v>
      </c>
      <c r="EC53" s="537">
        <v>74035.996599500621</v>
      </c>
      <c r="ED53" s="538">
        <v>60445.57255050083</v>
      </c>
      <c r="EE53" s="539">
        <v>62195.439247000097</v>
      </c>
      <c r="EF53" s="539">
        <v>62801.570917999983</v>
      </c>
      <c r="EH53" s="65"/>
      <c r="EI53" s="249"/>
    </row>
    <row r="54" spans="1:139" s="26" customFormat="1">
      <c r="A54" s="27" t="s">
        <v>35</v>
      </c>
      <c r="B54" s="27"/>
      <c r="C54" s="8">
        <f t="shared" si="42"/>
        <v>17259.373000000003</v>
      </c>
      <c r="D54" s="8">
        <f t="shared" si="43"/>
        <v>17770.916499999999</v>
      </c>
      <c r="E54" s="8">
        <f t="shared" si="44"/>
        <v>12902.6875</v>
      </c>
      <c r="F54" s="8">
        <f t="shared" si="45"/>
        <v>14425.066000000001</v>
      </c>
      <c r="G54" s="8">
        <f t="shared" si="46"/>
        <v>8974.625</v>
      </c>
      <c r="H54" s="8">
        <f t="shared" si="47"/>
        <v>10106.114</v>
      </c>
      <c r="I54" s="8">
        <f t="shared" si="48"/>
        <v>7229.0139999999992</v>
      </c>
      <c r="J54" s="8">
        <f t="shared" si="49"/>
        <v>7281.445999999999</v>
      </c>
      <c r="K54" s="8">
        <f t="shared" si="50"/>
        <v>15779.532999999998</v>
      </c>
      <c r="L54" s="8">
        <f t="shared" si="51"/>
        <v>5876.1660000000002</v>
      </c>
      <c r="M54" s="8">
        <f t="shared" si="52"/>
        <v>6744.094945047731</v>
      </c>
      <c r="N54" s="8">
        <f t="shared" si="25"/>
        <v>7668.8104338590092</v>
      </c>
      <c r="O54" s="8">
        <f t="shared" si="53"/>
        <v>4743.4669999999996</v>
      </c>
      <c r="P54" s="8">
        <f t="shared" si="27"/>
        <v>6102.9887380342252</v>
      </c>
      <c r="Q54" s="27"/>
      <c r="R54" s="78">
        <f t="shared" si="54"/>
        <v>0</v>
      </c>
      <c r="S54" s="78">
        <f t="shared" si="54"/>
        <v>0</v>
      </c>
      <c r="T54" s="78">
        <f t="shared" si="54"/>
        <v>0</v>
      </c>
      <c r="U54" s="78">
        <f t="shared" si="54"/>
        <v>0</v>
      </c>
      <c r="V54" s="78">
        <f t="shared" si="54"/>
        <v>0</v>
      </c>
      <c r="W54" s="78">
        <f t="shared" si="54"/>
        <v>0</v>
      </c>
      <c r="X54" s="78">
        <f t="shared" si="54"/>
        <v>0</v>
      </c>
      <c r="Y54" s="78">
        <f t="shared" si="59"/>
        <v>0</v>
      </c>
      <c r="Z54" s="592">
        <v>0</v>
      </c>
      <c r="AA54" s="592">
        <v>0</v>
      </c>
      <c r="AB54" s="592">
        <v>0</v>
      </c>
      <c r="AC54" s="592">
        <v>0</v>
      </c>
      <c r="AD54" s="592">
        <v>0</v>
      </c>
      <c r="AE54" s="592">
        <v>0</v>
      </c>
      <c r="AF54" s="27"/>
      <c r="AG54" s="78">
        <f t="shared" ref="AG54:AJ55" si="62">AH54/AH$8*AG$8</f>
        <v>0</v>
      </c>
      <c r="AH54" s="78">
        <f t="shared" si="62"/>
        <v>0</v>
      </c>
      <c r="AI54" s="78">
        <f t="shared" si="62"/>
        <v>0</v>
      </c>
      <c r="AJ54" s="78">
        <f t="shared" si="62"/>
        <v>0</v>
      </c>
      <c r="AK54" s="8">
        <v>0</v>
      </c>
      <c r="AL54" s="315">
        <v>0</v>
      </c>
      <c r="AM54" s="281">
        <v>0</v>
      </c>
      <c r="AN54" s="315">
        <v>0</v>
      </c>
      <c r="AO54" s="282">
        <v>522.5</v>
      </c>
      <c r="AP54" s="281">
        <v>28.48</v>
      </c>
      <c r="AQ54" s="281">
        <v>839.58121599763297</v>
      </c>
      <c r="AR54" s="282">
        <v>1737.9189757588151</v>
      </c>
      <c r="AS54" s="282">
        <v>440.40700000000004</v>
      </c>
      <c r="AT54" s="282">
        <v>664.36699999999996</v>
      </c>
      <c r="AU54" s="27"/>
      <c r="AV54" s="78">
        <f t="shared" si="55"/>
        <v>0</v>
      </c>
      <c r="AW54" s="78">
        <f t="shared" si="55"/>
        <v>0</v>
      </c>
      <c r="AX54" s="78">
        <f t="shared" si="55"/>
        <v>0</v>
      </c>
      <c r="AY54" s="78">
        <f t="shared" si="55"/>
        <v>0</v>
      </c>
      <c r="AZ54" s="78">
        <f t="shared" si="55"/>
        <v>0</v>
      </c>
      <c r="BA54" s="78">
        <f t="shared" si="55"/>
        <v>0</v>
      </c>
      <c r="BB54" s="78">
        <f t="shared" si="55"/>
        <v>0</v>
      </c>
      <c r="BC54" s="78">
        <f t="shared" si="28"/>
        <v>0</v>
      </c>
      <c r="BD54" s="592">
        <v>0</v>
      </c>
      <c r="BE54" s="592">
        <v>0</v>
      </c>
      <c r="BF54" s="592">
        <v>0</v>
      </c>
      <c r="BG54" s="592">
        <v>0</v>
      </c>
      <c r="BH54" s="592">
        <v>0</v>
      </c>
      <c r="BI54" s="592">
        <v>1</v>
      </c>
      <c r="BJ54" s="27"/>
      <c r="BK54" s="8">
        <v>17222.976000000002</v>
      </c>
      <c r="BL54" s="8">
        <v>17444.048999999999</v>
      </c>
      <c r="BM54" s="8">
        <v>12291.998</v>
      </c>
      <c r="BN54" s="8">
        <v>12579.339</v>
      </c>
      <c r="BO54" s="8">
        <v>7436.5450000000001</v>
      </c>
      <c r="BP54" s="8">
        <v>9125.2839999999997</v>
      </c>
      <c r="BQ54" s="8">
        <v>6149.0439999999999</v>
      </c>
      <c r="BR54" s="8">
        <v>6178.9559999999992</v>
      </c>
      <c r="BS54" s="407">
        <v>14226.832999999999</v>
      </c>
      <c r="BT54" s="407">
        <v>4561.6760000000004</v>
      </c>
      <c r="BU54" s="408">
        <f t="shared" si="29"/>
        <v>4639.2437290500975</v>
      </c>
      <c r="BV54" s="701">
        <v>4716.8114581001946</v>
      </c>
      <c r="BW54" s="702">
        <v>3314.8199999999997</v>
      </c>
      <c r="BX54" s="724">
        <v>4675.2417380342249</v>
      </c>
      <c r="BY54" s="27"/>
      <c r="BZ54" s="315">
        <v>0</v>
      </c>
      <c r="CA54" s="315">
        <v>0</v>
      </c>
      <c r="CB54" s="315">
        <v>0</v>
      </c>
      <c r="CC54" s="315">
        <v>0</v>
      </c>
      <c r="CD54" s="315">
        <v>0</v>
      </c>
      <c r="CE54" s="315">
        <v>0</v>
      </c>
      <c r="CF54" s="315">
        <v>0</v>
      </c>
      <c r="CG54" s="315">
        <v>0</v>
      </c>
      <c r="CH54" s="8">
        <v>0</v>
      </c>
      <c r="CI54" s="1">
        <v>0</v>
      </c>
      <c r="CJ54" s="1">
        <v>0</v>
      </c>
      <c r="CK54" s="1">
        <v>0</v>
      </c>
      <c r="CL54" s="1">
        <v>0</v>
      </c>
      <c r="CM54" s="1">
        <v>0</v>
      </c>
      <c r="CN54" s="27"/>
      <c r="CO54" s="78">
        <f t="shared" si="56"/>
        <v>0</v>
      </c>
      <c r="CP54" s="78">
        <f t="shared" si="56"/>
        <v>0</v>
      </c>
      <c r="CQ54" s="78">
        <f t="shared" si="56"/>
        <v>0</v>
      </c>
      <c r="CR54" s="78">
        <f t="shared" si="56"/>
        <v>0</v>
      </c>
      <c r="CS54" s="78">
        <f t="shared" si="56"/>
        <v>0</v>
      </c>
      <c r="CT54" s="78">
        <f t="shared" si="56"/>
        <v>0</v>
      </c>
      <c r="CU54" s="78">
        <f t="shared" si="56"/>
        <v>0</v>
      </c>
      <c r="CV54" s="78">
        <f t="shared" si="30"/>
        <v>0</v>
      </c>
      <c r="CW54" s="592">
        <v>0</v>
      </c>
      <c r="CX54" s="592">
        <v>0</v>
      </c>
      <c r="CY54" s="592">
        <v>0</v>
      </c>
      <c r="CZ54" s="592">
        <v>0</v>
      </c>
      <c r="DA54" s="592">
        <v>0</v>
      </c>
      <c r="DB54" s="592">
        <v>0</v>
      </c>
      <c r="DC54" s="27"/>
      <c r="DD54" s="8">
        <v>36.397000000000006</v>
      </c>
      <c r="DE54" s="8">
        <v>326.86750000000001</v>
      </c>
      <c r="DF54" s="8">
        <v>610.68949999999995</v>
      </c>
      <c r="DG54" s="8">
        <v>1845.7270000000001</v>
      </c>
      <c r="DH54" s="8">
        <v>1538.0799999999997</v>
      </c>
      <c r="DI54" s="8">
        <v>980.83</v>
      </c>
      <c r="DJ54" s="8">
        <v>1079.9699999999998</v>
      </c>
      <c r="DK54" s="8">
        <v>1102.49</v>
      </c>
      <c r="DL54" s="8">
        <v>1013.9</v>
      </c>
      <c r="DM54" s="8">
        <v>1270.0900000000001</v>
      </c>
      <c r="DN54" s="1">
        <v>1265.27</v>
      </c>
      <c r="DO54" s="1">
        <v>1209.5</v>
      </c>
      <c r="DP54" s="1">
        <v>928</v>
      </c>
      <c r="DQ54" s="394">
        <v>742.5</v>
      </c>
      <c r="DR54" s="27"/>
      <c r="DS54" s="8">
        <v>0</v>
      </c>
      <c r="DT54" s="8">
        <v>0</v>
      </c>
      <c r="DU54" s="8">
        <v>0</v>
      </c>
      <c r="DV54" s="8">
        <v>0</v>
      </c>
      <c r="DW54" s="8">
        <v>0</v>
      </c>
      <c r="DX54" s="8">
        <v>0</v>
      </c>
      <c r="DY54" s="8">
        <v>0</v>
      </c>
      <c r="DZ54" s="8">
        <v>0</v>
      </c>
      <c r="EA54" s="8">
        <v>16.3</v>
      </c>
      <c r="EB54" s="8">
        <v>15.92</v>
      </c>
      <c r="EC54" s="281">
        <v>0</v>
      </c>
      <c r="ED54" s="395">
        <v>4.58</v>
      </c>
      <c r="EE54" s="393">
        <v>60.239999999999995</v>
      </c>
      <c r="EF54" s="393">
        <v>19.88</v>
      </c>
      <c r="EH54" s="65"/>
      <c r="EI54" s="249"/>
    </row>
    <row r="55" spans="1:139" s="26" customFormat="1">
      <c r="A55" s="27" t="s">
        <v>61</v>
      </c>
      <c r="B55" s="28"/>
      <c r="C55" s="8">
        <f t="shared" si="42"/>
        <v>41.697000000000003</v>
      </c>
      <c r="D55" s="8">
        <f t="shared" si="43"/>
        <v>326.86750000000001</v>
      </c>
      <c r="E55" s="8">
        <f t="shared" si="44"/>
        <v>642.18949999999995</v>
      </c>
      <c r="F55" s="8">
        <f t="shared" si="45"/>
        <v>1845.7270000000001</v>
      </c>
      <c r="G55" s="8">
        <f t="shared" si="46"/>
        <v>1538.0799999999997</v>
      </c>
      <c r="H55" s="8">
        <f t="shared" si="47"/>
        <v>989.83</v>
      </c>
      <c r="I55" s="8">
        <f t="shared" si="48"/>
        <v>1079.9699999999998</v>
      </c>
      <c r="J55" s="8">
        <f t="shared" si="49"/>
        <v>1120.83</v>
      </c>
      <c r="K55" s="8">
        <f t="shared" si="50"/>
        <v>1598.25</v>
      </c>
      <c r="L55" s="8">
        <f t="shared" si="51"/>
        <v>1283.0900000000001</v>
      </c>
      <c r="M55" s="8">
        <f t="shared" si="52"/>
        <v>1937.9712708199506</v>
      </c>
      <c r="N55" s="8">
        <f t="shared" si="25"/>
        <v>1241.3821096446354</v>
      </c>
      <c r="O55" s="8">
        <f t="shared" si="53"/>
        <v>959.16752481252081</v>
      </c>
      <c r="P55" s="8">
        <f t="shared" si="27"/>
        <v>976.37947511442928</v>
      </c>
      <c r="Q55" s="28"/>
      <c r="R55" s="78">
        <f t="shared" si="54"/>
        <v>0</v>
      </c>
      <c r="S55" s="78">
        <f t="shared" si="54"/>
        <v>0</v>
      </c>
      <c r="T55" s="78">
        <f t="shared" si="54"/>
        <v>0</v>
      </c>
      <c r="U55" s="78">
        <f t="shared" si="54"/>
        <v>0</v>
      </c>
      <c r="V55" s="78">
        <f t="shared" si="54"/>
        <v>0</v>
      </c>
      <c r="W55" s="78">
        <f t="shared" si="54"/>
        <v>0</v>
      </c>
      <c r="X55" s="78">
        <f t="shared" si="54"/>
        <v>0</v>
      </c>
      <c r="Y55" s="78">
        <f t="shared" si="59"/>
        <v>0</v>
      </c>
      <c r="Z55" s="592">
        <v>0</v>
      </c>
      <c r="AA55" s="592">
        <v>0</v>
      </c>
      <c r="AB55" s="592">
        <v>0</v>
      </c>
      <c r="AC55" s="592">
        <v>0</v>
      </c>
      <c r="AD55" s="592">
        <v>0</v>
      </c>
      <c r="AE55" s="592">
        <v>0</v>
      </c>
      <c r="AF55" s="28"/>
      <c r="AG55" s="78">
        <f t="shared" si="62"/>
        <v>0</v>
      </c>
      <c r="AH55" s="78">
        <f t="shared" si="62"/>
        <v>0</v>
      </c>
      <c r="AI55" s="78">
        <f t="shared" si="62"/>
        <v>0</v>
      </c>
      <c r="AJ55" s="78">
        <f t="shared" si="62"/>
        <v>0</v>
      </c>
      <c r="AK55" s="8">
        <v>0</v>
      </c>
      <c r="AL55" s="315">
        <v>0</v>
      </c>
      <c r="AM55" s="281">
        <v>0</v>
      </c>
      <c r="AN55" s="315">
        <v>0</v>
      </c>
      <c r="AO55" s="282">
        <v>522.5</v>
      </c>
      <c r="AP55" s="281">
        <v>0</v>
      </c>
      <c r="AQ55" s="281">
        <v>652.04021599763291</v>
      </c>
      <c r="AR55" s="282">
        <v>0</v>
      </c>
      <c r="AS55" s="282">
        <v>0</v>
      </c>
      <c r="AT55" s="282">
        <v>220</v>
      </c>
      <c r="AU55" s="28"/>
      <c r="AV55" s="78">
        <f t="shared" si="55"/>
        <v>0</v>
      </c>
      <c r="AW55" s="78">
        <f t="shared" si="55"/>
        <v>0</v>
      </c>
      <c r="AX55" s="78">
        <f t="shared" si="55"/>
        <v>0</v>
      </c>
      <c r="AY55" s="78">
        <f t="shared" si="55"/>
        <v>0</v>
      </c>
      <c r="AZ55" s="78">
        <f t="shared" si="55"/>
        <v>0</v>
      </c>
      <c r="BA55" s="78">
        <f t="shared" si="55"/>
        <v>0</v>
      </c>
      <c r="BB55" s="78">
        <f t="shared" si="55"/>
        <v>0</v>
      </c>
      <c r="BC55" s="78">
        <f t="shared" si="28"/>
        <v>0</v>
      </c>
      <c r="BD55" s="592">
        <v>0</v>
      </c>
      <c r="BE55" s="592">
        <v>0</v>
      </c>
      <c r="BF55" s="592">
        <v>0</v>
      </c>
      <c r="BG55" s="592">
        <v>0</v>
      </c>
      <c r="BH55" s="592">
        <v>0</v>
      </c>
      <c r="BI55" s="721">
        <v>0</v>
      </c>
      <c r="BJ55" s="28"/>
      <c r="BK55" s="8">
        <v>5.3</v>
      </c>
      <c r="BL55" s="8">
        <v>0</v>
      </c>
      <c r="BM55" s="8">
        <v>31.5</v>
      </c>
      <c r="BN55" s="8">
        <v>0</v>
      </c>
      <c r="BO55" s="8">
        <v>0</v>
      </c>
      <c r="BP55" s="8">
        <v>9</v>
      </c>
      <c r="BQ55" s="8">
        <v>0</v>
      </c>
      <c r="BR55" s="8">
        <v>18.34</v>
      </c>
      <c r="BS55" s="407">
        <v>61.85</v>
      </c>
      <c r="BT55" s="407">
        <v>13</v>
      </c>
      <c r="BU55" s="408">
        <f t="shared" si="29"/>
        <v>20.661054822317777</v>
      </c>
      <c r="BV55" s="701">
        <v>28.322109644635553</v>
      </c>
      <c r="BW55" s="702">
        <v>13.667524812520799</v>
      </c>
      <c r="BX55" s="724">
        <v>13.879475114429274</v>
      </c>
      <c r="BY55" s="28"/>
      <c r="BZ55" s="315">
        <v>0</v>
      </c>
      <c r="CA55" s="315">
        <v>0</v>
      </c>
      <c r="CB55" s="315">
        <v>0</v>
      </c>
      <c r="CC55" s="315">
        <v>0</v>
      </c>
      <c r="CD55" s="315">
        <v>0</v>
      </c>
      <c r="CE55" s="315">
        <v>0</v>
      </c>
      <c r="CF55" s="315">
        <v>0</v>
      </c>
      <c r="CG55" s="315">
        <v>0</v>
      </c>
      <c r="CH55" s="8">
        <v>0</v>
      </c>
      <c r="CI55" s="1">
        <v>0</v>
      </c>
      <c r="CJ55" s="1">
        <v>0</v>
      </c>
      <c r="CK55" s="1">
        <v>0</v>
      </c>
      <c r="CL55" s="1">
        <v>0</v>
      </c>
      <c r="CM55" s="1">
        <v>0</v>
      </c>
      <c r="CN55" s="28"/>
      <c r="CO55" s="78">
        <f t="shared" si="56"/>
        <v>0</v>
      </c>
      <c r="CP55" s="78">
        <f t="shared" si="56"/>
        <v>0</v>
      </c>
      <c r="CQ55" s="78">
        <f t="shared" si="56"/>
        <v>0</v>
      </c>
      <c r="CR55" s="78">
        <f t="shared" si="56"/>
        <v>0</v>
      </c>
      <c r="CS55" s="78">
        <f t="shared" si="56"/>
        <v>0</v>
      </c>
      <c r="CT55" s="78">
        <f t="shared" si="56"/>
        <v>0</v>
      </c>
      <c r="CU55" s="78">
        <f t="shared" si="56"/>
        <v>0</v>
      </c>
      <c r="CV55" s="78">
        <f t="shared" si="30"/>
        <v>0</v>
      </c>
      <c r="CW55" s="592">
        <v>0</v>
      </c>
      <c r="CX55" s="592">
        <v>0</v>
      </c>
      <c r="CY55" s="592">
        <v>0</v>
      </c>
      <c r="CZ55" s="592">
        <v>0</v>
      </c>
      <c r="DA55" s="592">
        <v>0</v>
      </c>
      <c r="DB55" s="592">
        <v>0</v>
      </c>
      <c r="DC55" s="28"/>
      <c r="DD55" s="8">
        <v>36.397000000000006</v>
      </c>
      <c r="DE55" s="8">
        <v>326.86750000000001</v>
      </c>
      <c r="DF55" s="8">
        <v>610.68949999999995</v>
      </c>
      <c r="DG55" s="8">
        <v>1845.7270000000001</v>
      </c>
      <c r="DH55" s="8">
        <v>1538.0799999999997</v>
      </c>
      <c r="DI55" s="8">
        <v>980.83</v>
      </c>
      <c r="DJ55" s="8">
        <v>1079.9699999999998</v>
      </c>
      <c r="DK55" s="8">
        <v>1102.49</v>
      </c>
      <c r="DL55" s="8">
        <v>1013.9</v>
      </c>
      <c r="DM55" s="8">
        <v>1270.0900000000001</v>
      </c>
      <c r="DN55" s="1">
        <v>1265.27</v>
      </c>
      <c r="DO55" s="1">
        <v>1209.5</v>
      </c>
      <c r="DP55" s="1">
        <v>928</v>
      </c>
      <c r="DQ55" s="394">
        <v>742.5</v>
      </c>
      <c r="DR55" s="28"/>
      <c r="DS55" s="8">
        <v>0</v>
      </c>
      <c r="DT55" s="8">
        <v>0</v>
      </c>
      <c r="DU55" s="8">
        <v>0</v>
      </c>
      <c r="DV55" s="8">
        <v>0</v>
      </c>
      <c r="DW55" s="8">
        <v>0</v>
      </c>
      <c r="DX55" s="8">
        <v>0</v>
      </c>
      <c r="DY55" s="8">
        <v>0</v>
      </c>
      <c r="DZ55" s="8">
        <v>0</v>
      </c>
      <c r="EA55" s="8">
        <v>0</v>
      </c>
      <c r="EB55" s="8">
        <v>0</v>
      </c>
      <c r="EC55" s="281">
        <v>0</v>
      </c>
      <c r="ED55" s="395">
        <v>3.56</v>
      </c>
      <c r="EE55" s="393">
        <v>17.5</v>
      </c>
      <c r="EF55" s="393">
        <v>0</v>
      </c>
      <c r="EH55" s="65"/>
      <c r="EI55" s="249"/>
    </row>
    <row r="56" spans="1:139" s="26" customFormat="1">
      <c r="A56" s="27" t="s">
        <v>36</v>
      </c>
      <c r="B56" s="28"/>
      <c r="C56" s="8">
        <f t="shared" si="42"/>
        <v>3394.7086386360938</v>
      </c>
      <c r="D56" s="8">
        <f t="shared" si="43"/>
        <v>5193.208895437393</v>
      </c>
      <c r="E56" s="8">
        <f t="shared" si="44"/>
        <v>6049.5273522067919</v>
      </c>
      <c r="F56" s="8">
        <f t="shared" si="45"/>
        <v>6690.1330606309994</v>
      </c>
      <c r="G56" s="8">
        <f t="shared" si="46"/>
        <v>4882.6792943443952</v>
      </c>
      <c r="H56" s="8">
        <f t="shared" si="47"/>
        <v>5514.1703470687125</v>
      </c>
      <c r="I56" s="8">
        <f t="shared" si="48"/>
        <v>4603.2122968925551</v>
      </c>
      <c r="J56" s="8">
        <f t="shared" si="49"/>
        <v>5152.9299226496314</v>
      </c>
      <c r="K56" s="8">
        <f t="shared" si="50"/>
        <v>16045.223766558011</v>
      </c>
      <c r="L56" s="8">
        <f t="shared" si="51"/>
        <v>6297.5609999999997</v>
      </c>
      <c r="M56" s="8">
        <f t="shared" si="52"/>
        <v>5452.1654980993171</v>
      </c>
      <c r="N56" s="8">
        <f t="shared" si="25"/>
        <v>21557.355024786295</v>
      </c>
      <c r="O56" s="8">
        <f t="shared" si="53"/>
        <v>6730.6662794088916</v>
      </c>
      <c r="P56" s="8">
        <f t="shared" si="27"/>
        <v>4667.8505380233473</v>
      </c>
      <c r="Q56" s="28"/>
      <c r="R56" s="78">
        <f t="shared" si="54"/>
        <v>22.041026764814507</v>
      </c>
      <c r="S56" s="78">
        <f t="shared" si="54"/>
        <v>22.418494028349105</v>
      </c>
      <c r="T56" s="78">
        <f t="shared" si="54"/>
        <v>22.869565779855073</v>
      </c>
      <c r="U56" s="78">
        <f t="shared" si="54"/>
        <v>23.309759699952878</v>
      </c>
      <c r="V56" s="78">
        <f t="shared" si="54"/>
        <v>23.764023150494772</v>
      </c>
      <c r="W56" s="78">
        <f t="shared" si="54"/>
        <v>24.217765507316511</v>
      </c>
      <c r="X56" s="78">
        <f t="shared" si="54"/>
        <v>24.751170066606385</v>
      </c>
      <c r="Y56" s="78">
        <f t="shared" si="59"/>
        <v>25.189279611823586</v>
      </c>
      <c r="Z56" s="592">
        <v>26.852999999999998</v>
      </c>
      <c r="AA56" s="592">
        <v>45.122</v>
      </c>
      <c r="AB56" s="592">
        <v>8.7080000000000002</v>
      </c>
      <c r="AC56" s="592">
        <v>29.137</v>
      </c>
      <c r="AD56" s="592">
        <v>18.045000000000002</v>
      </c>
      <c r="AE56" s="592">
        <v>23.121000000000002</v>
      </c>
      <c r="AF56" s="28"/>
      <c r="AG56" s="73">
        <f>('Basel data'!F279+'Basel data'!F233)/2</f>
        <v>681.9375</v>
      </c>
      <c r="AH56" s="73">
        <f>('Basel data'!F233+'Basel data'!F187)/2</f>
        <v>2031.4834999999998</v>
      </c>
      <c r="AI56" s="73">
        <f>('Basel data'!F187+'Basel data'!F141)/2</f>
        <v>3076.0055000000002</v>
      </c>
      <c r="AJ56" s="73">
        <f>('Basel data'!F141+'Basel data'!F95)/2</f>
        <v>3133.2170000000001</v>
      </c>
      <c r="AK56" s="8">
        <v>2091.3296</v>
      </c>
      <c r="AL56" s="315">
        <v>2719.3549999999996</v>
      </c>
      <c r="AM56" s="8">
        <v>2610.1970000000001</v>
      </c>
      <c r="AN56" s="315">
        <v>2848.2649999999994</v>
      </c>
      <c r="AO56" s="282">
        <v>1616.5261999999998</v>
      </c>
      <c r="AP56" s="8">
        <v>2200.8405000000002</v>
      </c>
      <c r="AQ56" s="1">
        <v>1455.1905100000001</v>
      </c>
      <c r="AR56" s="282">
        <v>1563.5938372647229</v>
      </c>
      <c r="AS56" s="282">
        <v>1779.9345000000003</v>
      </c>
      <c r="AT56" s="282">
        <v>677.67460000000017</v>
      </c>
      <c r="AU56" s="28"/>
      <c r="AV56" s="78">
        <f t="shared" si="55"/>
        <v>5.1004690386133413</v>
      </c>
      <c r="AW56" s="78">
        <f t="shared" si="55"/>
        <v>5.2355524700697282</v>
      </c>
      <c r="AX56" s="78">
        <f t="shared" si="55"/>
        <v>5.3783459775029607</v>
      </c>
      <c r="AY56" s="78">
        <f t="shared" si="55"/>
        <v>5.5054051292593087</v>
      </c>
      <c r="AZ56" s="78">
        <f t="shared" si="55"/>
        <v>5.5662156344559932</v>
      </c>
      <c r="BA56" s="78">
        <f t="shared" si="55"/>
        <v>5.6256243076568877</v>
      </c>
      <c r="BB56" s="78">
        <f t="shared" si="55"/>
        <v>5.7870283433100917</v>
      </c>
      <c r="BC56" s="78">
        <f t="shared" si="28"/>
        <v>5.8748361991843181</v>
      </c>
      <c r="BD56" s="592">
        <v>2.64</v>
      </c>
      <c r="BE56" s="592">
        <v>26.754000000000001</v>
      </c>
      <c r="BF56" s="592">
        <v>0</v>
      </c>
      <c r="BG56" s="592">
        <v>0</v>
      </c>
      <c r="BH56" s="592">
        <v>0</v>
      </c>
      <c r="BI56" s="721">
        <v>0</v>
      </c>
      <c r="BJ56" s="28"/>
      <c r="BK56" s="8">
        <v>1329.596</v>
      </c>
      <c r="BL56" s="8">
        <v>2095.902</v>
      </c>
      <c r="BM56" s="8">
        <v>1879.8430000000001</v>
      </c>
      <c r="BN56" s="8">
        <v>2660.9250000000002</v>
      </c>
      <c r="BO56" s="8">
        <v>2327.056</v>
      </c>
      <c r="BP56" s="8">
        <v>1951.1010000000001</v>
      </c>
      <c r="BQ56" s="8">
        <v>1402.537</v>
      </c>
      <c r="BR56" s="8">
        <v>1689.9430000000002</v>
      </c>
      <c r="BS56" s="407">
        <v>8221.43</v>
      </c>
      <c r="BT56" s="407">
        <v>2133.6149999999998</v>
      </c>
      <c r="BU56" s="408">
        <f t="shared" si="29"/>
        <v>2218.9431880993166</v>
      </c>
      <c r="BV56" s="701">
        <v>2304.2713761986333</v>
      </c>
      <c r="BW56" s="702">
        <v>2632.3992794088908</v>
      </c>
      <c r="BX56" s="724">
        <v>2588.3239430233471</v>
      </c>
      <c r="BY56" s="28"/>
      <c r="BZ56" s="315">
        <v>93.42</v>
      </c>
      <c r="CA56" s="315">
        <v>69.539999999999992</v>
      </c>
      <c r="CB56" s="315">
        <v>187.28</v>
      </c>
      <c r="CC56" s="315">
        <v>80.289999999999992</v>
      </c>
      <c r="CD56" s="315">
        <v>55.739999999999995</v>
      </c>
      <c r="CE56" s="315">
        <v>21.78</v>
      </c>
      <c r="CF56" s="315">
        <v>50.83</v>
      </c>
      <c r="CG56" s="315">
        <v>12.72</v>
      </c>
      <c r="CH56" s="8">
        <v>90.582566558007812</v>
      </c>
      <c r="CI56" s="8">
        <v>4.9325000000000001</v>
      </c>
      <c r="CJ56" s="1">
        <v>174.1</v>
      </c>
      <c r="CK56" s="1">
        <v>15308.854179000145</v>
      </c>
      <c r="CL56" s="1">
        <v>0.64</v>
      </c>
      <c r="CM56" s="1">
        <v>42.393715</v>
      </c>
      <c r="CN56" s="28"/>
      <c r="CO56" s="78">
        <f t="shared" si="56"/>
        <v>22.43858283266643</v>
      </c>
      <c r="CP56" s="78">
        <f t="shared" si="56"/>
        <v>22.636848938975028</v>
      </c>
      <c r="CQ56" s="78">
        <f t="shared" si="56"/>
        <v>22.906925449433622</v>
      </c>
      <c r="CR56" s="78">
        <f t="shared" si="56"/>
        <v>23.120895801786464</v>
      </c>
      <c r="CS56" s="78">
        <f t="shared" si="56"/>
        <v>23.292455559444232</v>
      </c>
      <c r="CT56" s="78">
        <f t="shared" si="56"/>
        <v>23.366457253739934</v>
      </c>
      <c r="CU56" s="78">
        <f t="shared" si="56"/>
        <v>23.378098482639018</v>
      </c>
      <c r="CV56" s="78">
        <f t="shared" si="30"/>
        <v>23.430506838623881</v>
      </c>
      <c r="CW56" s="592">
        <v>32.972000000000001</v>
      </c>
      <c r="CX56" s="592">
        <v>35.625</v>
      </c>
      <c r="CY56" s="592">
        <v>1</v>
      </c>
      <c r="CZ56" s="592">
        <v>47.8</v>
      </c>
      <c r="DA56" s="592">
        <v>0</v>
      </c>
      <c r="DB56" s="592">
        <v>15</v>
      </c>
      <c r="DC56" s="28"/>
      <c r="DD56" s="8">
        <v>1229.7819999999995</v>
      </c>
      <c r="DE56" s="8">
        <v>936.8649999999999</v>
      </c>
      <c r="DF56" s="8">
        <v>789.00600000000009</v>
      </c>
      <c r="DG56" s="8">
        <v>721.96100000000001</v>
      </c>
      <c r="DH56" s="8">
        <v>297.66200000000003</v>
      </c>
      <c r="DI56" s="8">
        <v>562.49300000000017</v>
      </c>
      <c r="DJ56" s="8">
        <v>436.95000000000005</v>
      </c>
      <c r="DK56" s="8">
        <v>536.59300000000007</v>
      </c>
      <c r="DL56" s="8">
        <v>5550.4920000000011</v>
      </c>
      <c r="DM56" s="8">
        <v>1823.0439999999999</v>
      </c>
      <c r="DN56" s="1">
        <v>1555.3000000000004</v>
      </c>
      <c r="DO56" s="1">
        <v>2257.2681323227948</v>
      </c>
      <c r="DP56" s="1">
        <v>2288.5405000000005</v>
      </c>
      <c r="DQ56" s="394">
        <v>1144.7252799999999</v>
      </c>
      <c r="DR56" s="28"/>
      <c r="DS56" s="8">
        <v>10.39306</v>
      </c>
      <c r="DT56" s="8">
        <v>9.1275000000000013</v>
      </c>
      <c r="DU56" s="8">
        <v>66.238015000000004</v>
      </c>
      <c r="DV56" s="8">
        <v>41.804000000000002</v>
      </c>
      <c r="DW56" s="8">
        <v>58.268999999999998</v>
      </c>
      <c r="DX56" s="8">
        <v>206.23150000000001</v>
      </c>
      <c r="DY56" s="8">
        <v>48.781999999999996</v>
      </c>
      <c r="DZ56" s="8">
        <v>10.914300000000001</v>
      </c>
      <c r="EA56" s="8">
        <v>503.72800000000007</v>
      </c>
      <c r="EB56" s="8">
        <v>27.628</v>
      </c>
      <c r="EC56" s="281">
        <v>38.9238</v>
      </c>
      <c r="ED56" s="395">
        <v>46.430500000000002</v>
      </c>
      <c r="EE56" s="393">
        <v>11.106999999999999</v>
      </c>
      <c r="EF56" s="393">
        <v>176.61200000000002</v>
      </c>
      <c r="EH56" s="65"/>
      <c r="EI56" s="249"/>
    </row>
    <row r="57" spans="1:139" s="26" customFormat="1">
      <c r="A57" s="27" t="s">
        <v>37</v>
      </c>
      <c r="B57" s="28"/>
      <c r="C57" s="8">
        <f t="shared" si="42"/>
        <v>1634.1304749999999</v>
      </c>
      <c r="D57" s="8">
        <f t="shared" si="43"/>
        <v>876.94725800000003</v>
      </c>
      <c r="E57" s="8">
        <f t="shared" si="44"/>
        <v>657.283908</v>
      </c>
      <c r="F57" s="8">
        <f t="shared" si="45"/>
        <v>1334.73065</v>
      </c>
      <c r="G57" s="8">
        <f t="shared" si="46"/>
        <v>1610.8229999999999</v>
      </c>
      <c r="H57" s="8">
        <f t="shared" si="47"/>
        <v>3442.9425000000001</v>
      </c>
      <c r="I57" s="8">
        <f t="shared" si="48"/>
        <v>1926.8125000000002</v>
      </c>
      <c r="J57" s="8">
        <f t="shared" si="49"/>
        <v>1101.9982</v>
      </c>
      <c r="K57" s="8">
        <f t="shared" si="50"/>
        <v>814.9591787999999</v>
      </c>
      <c r="L57" s="8">
        <f t="shared" si="51"/>
        <v>918.21900000000005</v>
      </c>
      <c r="M57" s="8">
        <f t="shared" si="52"/>
        <v>2054.2966881346424</v>
      </c>
      <c r="N57" s="8">
        <f t="shared" si="25"/>
        <v>1029.622592269284</v>
      </c>
      <c r="O57" s="8">
        <f t="shared" si="53"/>
        <v>1220.5694918141332</v>
      </c>
      <c r="P57" s="8">
        <f t="shared" si="27"/>
        <v>1117.4229134486375</v>
      </c>
      <c r="Q57" s="28"/>
      <c r="R57" s="78">
        <f t="shared" si="54"/>
        <v>0</v>
      </c>
      <c r="S57" s="78">
        <f t="shared" si="54"/>
        <v>0</v>
      </c>
      <c r="T57" s="78">
        <f t="shared" si="54"/>
        <v>0</v>
      </c>
      <c r="U57" s="78">
        <f t="shared" si="54"/>
        <v>0</v>
      </c>
      <c r="V57" s="78">
        <f t="shared" si="54"/>
        <v>0</v>
      </c>
      <c r="W57" s="78">
        <f t="shared" si="54"/>
        <v>0</v>
      </c>
      <c r="X57" s="78">
        <f t="shared" si="54"/>
        <v>0</v>
      </c>
      <c r="Y57" s="78">
        <f t="shared" si="59"/>
        <v>0</v>
      </c>
      <c r="Z57" s="592">
        <v>0</v>
      </c>
      <c r="AA57" s="592">
        <v>0</v>
      </c>
      <c r="AB57" s="592">
        <v>0</v>
      </c>
      <c r="AC57" s="592">
        <v>0</v>
      </c>
      <c r="AD57" s="592">
        <v>0</v>
      </c>
      <c r="AE57" s="592">
        <v>0</v>
      </c>
      <c r="AF57" s="28"/>
      <c r="AG57" s="73">
        <f>('Basel data'!F308+'Basel data'!F262)/2</f>
        <v>436.55447500000002</v>
      </c>
      <c r="AH57" s="73">
        <f>('Basel data'!F262+'Basel data'!F216)/2</f>
        <v>126.332258</v>
      </c>
      <c r="AI57" s="73">
        <f>('Basel data'!F216+'Basel data'!F170)/2</f>
        <v>24.856908000000001</v>
      </c>
      <c r="AJ57" s="73">
        <f>('Basel data'!F170+'Basel data'!F124)/2</f>
        <v>137.65465</v>
      </c>
      <c r="AK57" s="8">
        <v>237.41</v>
      </c>
      <c r="AL57" s="315">
        <v>1653.3444999999999</v>
      </c>
      <c r="AM57" s="8">
        <v>1061.6985000000002</v>
      </c>
      <c r="AN57" s="315">
        <v>239.53099999999998</v>
      </c>
      <c r="AO57" s="282">
        <v>1.6E-2</v>
      </c>
      <c r="AP57" s="8">
        <v>5.9039999999999999</v>
      </c>
      <c r="AQ57" s="1">
        <v>0</v>
      </c>
      <c r="AR57" s="282">
        <v>0</v>
      </c>
      <c r="AS57" s="282">
        <v>40.859000000000002</v>
      </c>
      <c r="AT57" s="282">
        <v>0</v>
      </c>
      <c r="AU57" s="28"/>
      <c r="AV57" s="78">
        <f t="shared" si="55"/>
        <v>0</v>
      </c>
      <c r="AW57" s="78">
        <f t="shared" si="55"/>
        <v>0</v>
      </c>
      <c r="AX57" s="78">
        <f t="shared" si="55"/>
        <v>0</v>
      </c>
      <c r="AY57" s="78">
        <f t="shared" si="55"/>
        <v>0</v>
      </c>
      <c r="AZ57" s="78">
        <f t="shared" si="55"/>
        <v>0</v>
      </c>
      <c r="BA57" s="78">
        <f t="shared" si="55"/>
        <v>0</v>
      </c>
      <c r="BB57" s="78">
        <f t="shared" si="55"/>
        <v>0</v>
      </c>
      <c r="BC57" s="78">
        <f t="shared" si="28"/>
        <v>0</v>
      </c>
      <c r="BD57" s="592">
        <v>0</v>
      </c>
      <c r="BE57" s="592">
        <v>0</v>
      </c>
      <c r="BF57" s="592">
        <v>0</v>
      </c>
      <c r="BG57" s="592">
        <v>0</v>
      </c>
      <c r="BH57" s="592">
        <v>0</v>
      </c>
      <c r="BI57" s="721">
        <v>0</v>
      </c>
      <c r="BJ57" s="28"/>
      <c r="BK57" s="8">
        <v>959.91599999999994</v>
      </c>
      <c r="BL57" s="8">
        <v>628.41499999999996</v>
      </c>
      <c r="BM57" s="8">
        <v>582.17600000000004</v>
      </c>
      <c r="BN57" s="8">
        <v>1154.644</v>
      </c>
      <c r="BO57" s="8">
        <v>1358.3339999999998</v>
      </c>
      <c r="BP57" s="8">
        <v>1727.424</v>
      </c>
      <c r="BQ57" s="8">
        <v>817.69200000000001</v>
      </c>
      <c r="BR57" s="8">
        <v>852.65800000000013</v>
      </c>
      <c r="BS57" s="407">
        <v>765.56299999999999</v>
      </c>
      <c r="BT57" s="407">
        <v>894.72</v>
      </c>
      <c r="BU57" s="408">
        <f t="shared" si="29"/>
        <v>931.38968813464214</v>
      </c>
      <c r="BV57" s="701">
        <v>968.05937626928426</v>
      </c>
      <c r="BW57" s="702">
        <v>1073.4263718141333</v>
      </c>
      <c r="BX57" s="724">
        <v>1090.0726224486375</v>
      </c>
      <c r="BY57" s="28"/>
      <c r="BZ57" s="315">
        <v>3.62</v>
      </c>
      <c r="CA57" s="315">
        <v>0.08</v>
      </c>
      <c r="CB57" s="315">
        <v>2.15</v>
      </c>
      <c r="CC57" s="315">
        <v>0</v>
      </c>
      <c r="CD57" s="315">
        <v>0</v>
      </c>
      <c r="CE57" s="315">
        <v>0.36</v>
      </c>
      <c r="CF57" s="315">
        <v>0</v>
      </c>
      <c r="CG57" s="315">
        <v>0</v>
      </c>
      <c r="CH57" s="8">
        <v>0.18299799999999999</v>
      </c>
      <c r="CI57" s="8">
        <v>0.12770000000000001</v>
      </c>
      <c r="CJ57" s="1">
        <v>4.5999999999999999E-3</v>
      </c>
      <c r="CK57" s="1">
        <v>1.6216000000000001E-2</v>
      </c>
      <c r="CL57" s="1">
        <v>25.2</v>
      </c>
      <c r="CM57" s="1">
        <v>0.24627099999999999</v>
      </c>
      <c r="CN57" s="28"/>
      <c r="CO57" s="78">
        <f t="shared" si="56"/>
        <v>0</v>
      </c>
      <c r="CP57" s="78">
        <f t="shared" si="56"/>
        <v>0</v>
      </c>
      <c r="CQ57" s="78">
        <f t="shared" si="56"/>
        <v>0</v>
      </c>
      <c r="CR57" s="78">
        <f t="shared" si="56"/>
        <v>0</v>
      </c>
      <c r="CS57" s="78">
        <f t="shared" si="56"/>
        <v>0</v>
      </c>
      <c r="CT57" s="78">
        <f t="shared" si="56"/>
        <v>0</v>
      </c>
      <c r="CU57" s="78">
        <f t="shared" si="56"/>
        <v>0</v>
      </c>
      <c r="CV57" s="78">
        <f t="shared" si="30"/>
        <v>0</v>
      </c>
      <c r="CW57" s="592">
        <v>0</v>
      </c>
      <c r="CX57" s="592">
        <v>0</v>
      </c>
      <c r="CY57" s="592">
        <v>0</v>
      </c>
      <c r="CZ57" s="592">
        <v>0</v>
      </c>
      <c r="DA57" s="592">
        <v>0</v>
      </c>
      <c r="DB57" s="592">
        <v>0</v>
      </c>
      <c r="DC57" s="28"/>
      <c r="DD57" s="8">
        <v>234.04000000000002</v>
      </c>
      <c r="DE57" s="8">
        <v>122.12</v>
      </c>
      <c r="DF57" s="8">
        <v>47.063000000000002</v>
      </c>
      <c r="DG57" s="8">
        <v>41.94</v>
      </c>
      <c r="DH57" s="8">
        <v>9.0789999999999988</v>
      </c>
      <c r="DI57" s="8">
        <v>9.7340000000000018</v>
      </c>
      <c r="DJ57" s="8">
        <v>16.43</v>
      </c>
      <c r="DK57" s="8">
        <v>6.78</v>
      </c>
      <c r="DL57" s="8">
        <v>3.03</v>
      </c>
      <c r="DM57" s="8">
        <v>0.23</v>
      </c>
      <c r="DN57" s="1">
        <v>1082.43</v>
      </c>
      <c r="DO57" s="1">
        <v>61.331000000000003</v>
      </c>
      <c r="DP57" s="1">
        <v>55.980000000000004</v>
      </c>
      <c r="DQ57" s="394">
        <v>9.2640199999999986</v>
      </c>
      <c r="DR57" s="28"/>
      <c r="DS57" s="8">
        <v>0</v>
      </c>
      <c r="DT57" s="8">
        <v>0</v>
      </c>
      <c r="DU57" s="8">
        <v>1.038</v>
      </c>
      <c r="DV57" s="8">
        <v>0.49199999999999994</v>
      </c>
      <c r="DW57" s="8">
        <v>6</v>
      </c>
      <c r="DX57" s="8">
        <v>52.08</v>
      </c>
      <c r="DY57" s="8">
        <v>30.992000000000001</v>
      </c>
      <c r="DZ57" s="8">
        <v>3.0291999999999999</v>
      </c>
      <c r="EA57" s="8">
        <v>46.167180800000004</v>
      </c>
      <c r="EB57" s="8">
        <v>17.237299999999998</v>
      </c>
      <c r="EC57" s="281">
        <v>40.4724</v>
      </c>
      <c r="ED57" s="395">
        <v>0.216</v>
      </c>
      <c r="EE57" s="393">
        <v>25.104120000000002</v>
      </c>
      <c r="EF57" s="393">
        <v>17.84</v>
      </c>
      <c r="EH57" s="65"/>
      <c r="EI57" s="249"/>
    </row>
    <row r="58" spans="1:139" s="26" customFormat="1">
      <c r="A58" s="27" t="s">
        <v>38</v>
      </c>
      <c r="B58" s="27"/>
      <c r="C58" s="8">
        <f t="shared" si="42"/>
        <v>71.657539317573693</v>
      </c>
      <c r="D58" s="8">
        <f t="shared" si="43"/>
        <v>100.31903573239811</v>
      </c>
      <c r="E58" s="8">
        <f t="shared" si="44"/>
        <v>73.106790733862539</v>
      </c>
      <c r="F58" s="8">
        <f t="shared" si="45"/>
        <v>76.611024062332504</v>
      </c>
      <c r="G58" s="8">
        <f t="shared" si="46"/>
        <v>131.35350187043559</v>
      </c>
      <c r="H58" s="8">
        <f t="shared" si="47"/>
        <v>96.020178960519885</v>
      </c>
      <c r="I58" s="8">
        <f t="shared" si="48"/>
        <v>68.330074513204266</v>
      </c>
      <c r="J58" s="8">
        <f t="shared" si="49"/>
        <v>1491.0811486030775</v>
      </c>
      <c r="K58" s="8">
        <f t="shared" si="50"/>
        <v>50.093139000000008</v>
      </c>
      <c r="L58" s="8">
        <f t="shared" si="51"/>
        <v>20.233499999999999</v>
      </c>
      <c r="M58" s="8">
        <f t="shared" si="52"/>
        <v>21288.11750000008</v>
      </c>
      <c r="N58" s="8">
        <f t="shared" si="25"/>
        <v>43826.222500000149</v>
      </c>
      <c r="O58" s="8">
        <f t="shared" si="53"/>
        <v>4328.3130000000001</v>
      </c>
      <c r="P58" s="8">
        <f t="shared" si="27"/>
        <v>4568.0658869999997</v>
      </c>
      <c r="Q58" s="27"/>
      <c r="R58" s="78">
        <f t="shared" si="54"/>
        <v>0</v>
      </c>
      <c r="S58" s="78">
        <f t="shared" si="54"/>
        <v>0</v>
      </c>
      <c r="T58" s="78">
        <f t="shared" si="54"/>
        <v>0</v>
      </c>
      <c r="U58" s="78">
        <f t="shared" si="54"/>
        <v>0</v>
      </c>
      <c r="V58" s="78">
        <f t="shared" si="54"/>
        <v>0</v>
      </c>
      <c r="W58" s="78">
        <f t="shared" si="54"/>
        <v>0</v>
      </c>
      <c r="X58" s="78">
        <f t="shared" si="54"/>
        <v>0</v>
      </c>
      <c r="Y58" s="78">
        <f t="shared" si="59"/>
        <v>0</v>
      </c>
      <c r="Z58" s="592">
        <v>0</v>
      </c>
      <c r="AA58" s="592">
        <v>0</v>
      </c>
      <c r="AB58" s="592">
        <v>0</v>
      </c>
      <c r="AC58" s="592">
        <v>0</v>
      </c>
      <c r="AD58" s="592">
        <v>0</v>
      </c>
      <c r="AE58" s="592">
        <v>0</v>
      </c>
      <c r="AF58" s="27"/>
      <c r="AG58" s="73">
        <f>('Basel data'!F314+'Basel data'!F268)/2</f>
        <v>12.183499999999997</v>
      </c>
      <c r="AH58" s="73">
        <f>('Basel data'!F268+'Basel data'!F222)/2</f>
        <v>8.7320999999999991</v>
      </c>
      <c r="AI58" s="73">
        <f>('Basel data'!F222+'Basel data'!F176)/2</f>
        <v>6.2165499999999998</v>
      </c>
      <c r="AJ58" s="73">
        <f>('Basel data'!F176+'Basel data'!F130)/2</f>
        <v>5.4794499999999999</v>
      </c>
      <c r="AK58" s="8">
        <v>8.1409999999999982</v>
      </c>
      <c r="AL58" s="315">
        <v>5.1130000000000004</v>
      </c>
      <c r="AM58" s="8">
        <v>2.9809999999999985</v>
      </c>
      <c r="AN58" s="315">
        <v>0.44799999999999995</v>
      </c>
      <c r="AO58" s="282">
        <v>4.1505000000000001</v>
      </c>
      <c r="AP58" s="8">
        <v>2.5715000000000003</v>
      </c>
      <c r="AQ58" s="1">
        <v>21.158999999999999</v>
      </c>
      <c r="AR58" s="282">
        <v>148.95150000000001</v>
      </c>
      <c r="AS58" s="282">
        <v>392.25149999999985</v>
      </c>
      <c r="AT58" s="282">
        <v>100.14399999999999</v>
      </c>
      <c r="AU58" s="27"/>
      <c r="AV58" s="78">
        <f t="shared" si="55"/>
        <v>16.263406175174321</v>
      </c>
      <c r="AW58" s="78">
        <f t="shared" si="55"/>
        <v>16.694134544796739</v>
      </c>
      <c r="AX58" s="78">
        <f t="shared" si="55"/>
        <v>17.149447339165899</v>
      </c>
      <c r="AY58" s="78">
        <f t="shared" si="55"/>
        <v>17.55458941093277</v>
      </c>
      <c r="AZ58" s="78">
        <f t="shared" si="55"/>
        <v>17.748490391066962</v>
      </c>
      <c r="BA58" s="78">
        <f t="shared" si="55"/>
        <v>17.937921475792656</v>
      </c>
      <c r="BB58" s="78">
        <f t="shared" si="55"/>
        <v>18.452575985067753</v>
      </c>
      <c r="BC58" s="78">
        <f t="shared" si="28"/>
        <v>18.732560985396656</v>
      </c>
      <c r="BD58" s="592">
        <v>0</v>
      </c>
      <c r="BE58" s="592">
        <v>0</v>
      </c>
      <c r="BF58" s="592">
        <v>0</v>
      </c>
      <c r="BG58" s="592">
        <v>23.006</v>
      </c>
      <c r="BH58" s="592">
        <v>70.72</v>
      </c>
      <c r="BI58" s="592">
        <v>451.1</v>
      </c>
      <c r="BJ58" s="27"/>
      <c r="BK58" s="8">
        <v>12.41</v>
      </c>
      <c r="BL58" s="8">
        <v>59.792000000000002</v>
      </c>
      <c r="BM58" s="8">
        <v>35.112000000000002</v>
      </c>
      <c r="BN58" s="8">
        <v>33.547000000000004</v>
      </c>
      <c r="BO58" s="8">
        <v>75.25</v>
      </c>
      <c r="BP58" s="8">
        <v>43.88</v>
      </c>
      <c r="BQ58" s="8">
        <v>5.0410000000000004</v>
      </c>
      <c r="BR58" s="8">
        <v>1457.7349999999999</v>
      </c>
      <c r="BS58" s="407">
        <v>4.2760000000000007</v>
      </c>
      <c r="BT58" s="407">
        <v>8.6769999999999996</v>
      </c>
      <c r="BU58" s="408">
        <f t="shared" si="29"/>
        <v>21164.66950000008</v>
      </c>
      <c r="BV58" s="701">
        <v>42320.662000000157</v>
      </c>
      <c r="BW58" s="702">
        <v>202.28950000000003</v>
      </c>
      <c r="BX58" s="724">
        <v>89.394999999999925</v>
      </c>
      <c r="BY58" s="27"/>
      <c r="BZ58" s="315">
        <v>0</v>
      </c>
      <c r="CA58" s="315">
        <v>0</v>
      </c>
      <c r="CB58" s="315">
        <v>5.66</v>
      </c>
      <c r="CC58" s="315">
        <v>1.1099999999999999</v>
      </c>
      <c r="CD58" s="315">
        <v>0</v>
      </c>
      <c r="CE58" s="315">
        <v>5.24</v>
      </c>
      <c r="CF58" s="315">
        <v>0.98</v>
      </c>
      <c r="CG58" s="315">
        <v>2.09</v>
      </c>
      <c r="CH58" s="8">
        <v>2.0056389999999999</v>
      </c>
      <c r="CI58" s="8">
        <v>3.86</v>
      </c>
      <c r="CJ58" s="1">
        <v>21.143000000000001</v>
      </c>
      <c r="CK58" s="1">
        <v>11.265000000000001</v>
      </c>
      <c r="CL58" s="1">
        <v>51.14</v>
      </c>
      <c r="CM58" s="1">
        <v>42.086587000000002</v>
      </c>
      <c r="CN58" s="27"/>
      <c r="CO58" s="78">
        <f t="shared" si="56"/>
        <v>4.3196331423993906</v>
      </c>
      <c r="CP58" s="78">
        <f t="shared" si="56"/>
        <v>4.3578011876013489</v>
      </c>
      <c r="CQ58" s="78">
        <f t="shared" si="56"/>
        <v>4.4097933946966261</v>
      </c>
      <c r="CR58" s="78">
        <f t="shared" si="56"/>
        <v>4.4509846513997298</v>
      </c>
      <c r="CS58" s="78">
        <f t="shared" si="56"/>
        <v>4.4840114793686352</v>
      </c>
      <c r="CT58" s="78">
        <f t="shared" si="56"/>
        <v>4.4982574847272296</v>
      </c>
      <c r="CU58" s="78">
        <f t="shared" si="56"/>
        <v>4.50049852813651</v>
      </c>
      <c r="CV58" s="78">
        <f t="shared" si="30"/>
        <v>4.5105876176810291</v>
      </c>
      <c r="CW58" s="592">
        <v>0</v>
      </c>
      <c r="CX58" s="592">
        <v>0</v>
      </c>
      <c r="CY58" s="592">
        <v>0</v>
      </c>
      <c r="CZ58" s="592">
        <v>22.6</v>
      </c>
      <c r="DA58" s="592">
        <v>0</v>
      </c>
      <c r="DB58" s="592">
        <v>0</v>
      </c>
      <c r="DC58" s="27"/>
      <c r="DD58" s="8">
        <v>23.040999999999993</v>
      </c>
      <c r="DE58" s="8">
        <v>9.843</v>
      </c>
      <c r="DF58" s="8">
        <v>1.5489999999999999</v>
      </c>
      <c r="DG58" s="8">
        <v>6.2140000000000004</v>
      </c>
      <c r="DH58" s="8">
        <v>8.09</v>
      </c>
      <c r="DI58" s="8">
        <v>6.3009999999999993</v>
      </c>
      <c r="DJ58" s="8">
        <v>26.950000000000003</v>
      </c>
      <c r="DK58" s="8">
        <v>7.55</v>
      </c>
      <c r="DL58" s="8">
        <v>30.26</v>
      </c>
      <c r="DM58" s="8">
        <v>2.6999999999999997</v>
      </c>
      <c r="DN58" s="1">
        <v>65.45</v>
      </c>
      <c r="DO58" s="1">
        <v>928.95</v>
      </c>
      <c r="DP58" s="1">
        <v>3601.9890000000005</v>
      </c>
      <c r="DQ58" s="394">
        <v>3884.3379999999997</v>
      </c>
      <c r="DR58" s="27"/>
      <c r="DS58" s="8">
        <v>3.44</v>
      </c>
      <c r="DT58" s="8">
        <v>0.9</v>
      </c>
      <c r="DU58" s="8">
        <v>3.01</v>
      </c>
      <c r="DV58" s="8">
        <v>8.254999999999999</v>
      </c>
      <c r="DW58" s="8">
        <v>17.64</v>
      </c>
      <c r="DX58" s="8">
        <v>13.05</v>
      </c>
      <c r="DY58" s="8">
        <v>9.4250000000000007</v>
      </c>
      <c r="DZ58" s="8">
        <v>1.4999999999999999E-2</v>
      </c>
      <c r="EA58" s="8">
        <v>9.4009999999999998</v>
      </c>
      <c r="EB58" s="8">
        <v>2.4249999999999998</v>
      </c>
      <c r="EC58" s="281">
        <v>15.695999999999998</v>
      </c>
      <c r="ED58" s="395">
        <v>370.78800000000001</v>
      </c>
      <c r="EE58" s="393">
        <v>9.923</v>
      </c>
      <c r="EF58" s="393">
        <v>1.0023</v>
      </c>
      <c r="EH58" s="65"/>
      <c r="EI58" s="249"/>
    </row>
    <row r="59" spans="1:139" s="26" customFormat="1">
      <c r="A59" s="27" t="s">
        <v>62</v>
      </c>
      <c r="B59" s="27"/>
      <c r="C59" s="8">
        <f t="shared" si="42"/>
        <v>0</v>
      </c>
      <c r="D59" s="8">
        <f t="shared" si="43"/>
        <v>0.02</v>
      </c>
      <c r="E59" s="8">
        <f t="shared" si="44"/>
        <v>3.56</v>
      </c>
      <c r="F59" s="8">
        <f t="shared" si="45"/>
        <v>31.78</v>
      </c>
      <c r="G59" s="8">
        <f t="shared" si="46"/>
        <v>0</v>
      </c>
      <c r="H59" s="8">
        <f t="shared" si="47"/>
        <v>0.7</v>
      </c>
      <c r="I59" s="8">
        <f t="shared" si="48"/>
        <v>0</v>
      </c>
      <c r="J59" s="8">
        <f t="shared" si="49"/>
        <v>4.26</v>
      </c>
      <c r="K59" s="8">
        <f t="shared" si="50"/>
        <v>1.64</v>
      </c>
      <c r="L59" s="8">
        <f t="shared" si="51"/>
        <v>1</v>
      </c>
      <c r="M59" s="8">
        <f t="shared" si="52"/>
        <v>0</v>
      </c>
      <c r="N59" s="8">
        <f t="shared" si="25"/>
        <v>4.0199999999999996</v>
      </c>
      <c r="O59" s="8">
        <f t="shared" si="53"/>
        <v>0</v>
      </c>
      <c r="P59" s="8">
        <f t="shared" si="27"/>
        <v>0</v>
      </c>
      <c r="Q59" s="27"/>
      <c r="R59" s="78">
        <f t="shared" si="54"/>
        <v>0</v>
      </c>
      <c r="S59" s="78">
        <f t="shared" si="54"/>
        <v>0</v>
      </c>
      <c r="T59" s="78">
        <f t="shared" si="54"/>
        <v>0</v>
      </c>
      <c r="U59" s="78">
        <f t="shared" si="54"/>
        <v>0</v>
      </c>
      <c r="V59" s="78">
        <f t="shared" si="54"/>
        <v>0</v>
      </c>
      <c r="W59" s="78">
        <f t="shared" si="54"/>
        <v>0</v>
      </c>
      <c r="X59" s="78">
        <f t="shared" si="54"/>
        <v>0</v>
      </c>
      <c r="Y59" s="78">
        <f t="shared" si="59"/>
        <v>0</v>
      </c>
      <c r="Z59" s="592">
        <v>0</v>
      </c>
      <c r="AA59" s="592">
        <v>0</v>
      </c>
      <c r="AB59" s="592">
        <v>0</v>
      </c>
      <c r="AC59" s="592">
        <v>0</v>
      </c>
      <c r="AD59" s="592">
        <v>0</v>
      </c>
      <c r="AE59" s="592">
        <v>0</v>
      </c>
      <c r="AF59" s="27"/>
      <c r="AG59" s="73">
        <f>('Basel data'!F312+'Basel data'!F266)/2</f>
        <v>0</v>
      </c>
      <c r="AH59" s="73">
        <f>('Basel data'!F266+'Basel data'!F220)/2</f>
        <v>0</v>
      </c>
      <c r="AI59" s="73">
        <f>('Basel data'!F220+'Basel data'!F174)/2</f>
        <v>0</v>
      </c>
      <c r="AJ59" s="73">
        <f>('Basel data'!F174+0)/2</f>
        <v>0</v>
      </c>
      <c r="AK59" s="8">
        <v>0</v>
      </c>
      <c r="AL59" s="315">
        <v>0</v>
      </c>
      <c r="AM59" s="8">
        <v>0</v>
      </c>
      <c r="AN59" s="315">
        <v>0</v>
      </c>
      <c r="AO59" s="282">
        <v>0</v>
      </c>
      <c r="AP59" s="8">
        <v>0</v>
      </c>
      <c r="AQ59" s="1">
        <v>0</v>
      </c>
      <c r="AR59" s="282">
        <v>4.0199999999999996</v>
      </c>
      <c r="AS59" s="282">
        <v>0</v>
      </c>
      <c r="AT59" s="282">
        <v>0</v>
      </c>
      <c r="AU59" s="27"/>
      <c r="AV59" s="78">
        <f t="shared" si="55"/>
        <v>0</v>
      </c>
      <c r="AW59" s="78">
        <f t="shared" si="55"/>
        <v>0</v>
      </c>
      <c r="AX59" s="78">
        <f t="shared" si="55"/>
        <v>0</v>
      </c>
      <c r="AY59" s="78">
        <f t="shared" si="55"/>
        <v>0</v>
      </c>
      <c r="AZ59" s="78">
        <f t="shared" si="55"/>
        <v>0</v>
      </c>
      <c r="BA59" s="78">
        <f t="shared" si="55"/>
        <v>0</v>
      </c>
      <c r="BB59" s="78">
        <f t="shared" si="55"/>
        <v>0</v>
      </c>
      <c r="BC59" s="78">
        <f t="shared" si="28"/>
        <v>0</v>
      </c>
      <c r="BD59" s="592">
        <v>0</v>
      </c>
      <c r="BE59" s="592">
        <v>0</v>
      </c>
      <c r="BF59" s="592">
        <v>0</v>
      </c>
      <c r="BG59" s="592">
        <v>0</v>
      </c>
      <c r="BH59" s="592">
        <v>0</v>
      </c>
      <c r="BI59" s="721">
        <v>0</v>
      </c>
      <c r="BJ59" s="27"/>
      <c r="BK59" s="8">
        <v>0</v>
      </c>
      <c r="BL59" s="8">
        <v>0.02</v>
      </c>
      <c r="BM59" s="8">
        <v>3.56</v>
      </c>
      <c r="BN59" s="8">
        <v>0</v>
      </c>
      <c r="BO59" s="8">
        <v>0</v>
      </c>
      <c r="BP59" s="8">
        <v>0.7</v>
      </c>
      <c r="BQ59" s="8">
        <v>0</v>
      </c>
      <c r="BR59" s="8">
        <v>4.26</v>
      </c>
      <c r="BS59" s="407">
        <v>0</v>
      </c>
      <c r="BT59" s="407">
        <v>0</v>
      </c>
      <c r="BU59" s="408">
        <f t="shared" si="29"/>
        <v>0</v>
      </c>
      <c r="BV59" s="701">
        <v>0</v>
      </c>
      <c r="BW59" s="702">
        <v>0</v>
      </c>
      <c r="BX59" s="724">
        <v>0</v>
      </c>
      <c r="BY59" s="27"/>
      <c r="BZ59" s="315">
        <v>0</v>
      </c>
      <c r="CA59" s="315">
        <v>0</v>
      </c>
      <c r="CB59" s="315">
        <v>0</v>
      </c>
      <c r="CC59" s="315">
        <v>31.78</v>
      </c>
      <c r="CD59" s="315">
        <v>0</v>
      </c>
      <c r="CE59" s="315">
        <v>0</v>
      </c>
      <c r="CF59" s="315">
        <v>0</v>
      </c>
      <c r="CG59" s="315">
        <v>0</v>
      </c>
      <c r="CH59" s="8">
        <v>0</v>
      </c>
      <c r="CI59" s="1">
        <v>0</v>
      </c>
      <c r="CJ59" s="1">
        <v>0</v>
      </c>
      <c r="CK59" s="1">
        <v>0</v>
      </c>
      <c r="CL59" s="1">
        <v>0</v>
      </c>
      <c r="CM59" s="1">
        <v>0</v>
      </c>
      <c r="CN59" s="27"/>
      <c r="CO59" s="78">
        <f t="shared" si="56"/>
        <v>0</v>
      </c>
      <c r="CP59" s="78">
        <f t="shared" si="56"/>
        <v>0</v>
      </c>
      <c r="CQ59" s="78">
        <f t="shared" si="56"/>
        <v>0</v>
      </c>
      <c r="CR59" s="78">
        <f t="shared" si="56"/>
        <v>0</v>
      </c>
      <c r="CS59" s="78">
        <f t="shared" si="56"/>
        <v>0</v>
      </c>
      <c r="CT59" s="78">
        <f t="shared" si="56"/>
        <v>0</v>
      </c>
      <c r="CU59" s="78">
        <f t="shared" si="56"/>
        <v>0</v>
      </c>
      <c r="CV59" s="78">
        <f t="shared" si="30"/>
        <v>0</v>
      </c>
      <c r="CW59" s="592">
        <v>0</v>
      </c>
      <c r="CX59" s="592">
        <v>0</v>
      </c>
      <c r="CY59" s="592">
        <v>0</v>
      </c>
      <c r="CZ59" s="592">
        <v>0</v>
      </c>
      <c r="DA59" s="592">
        <v>0</v>
      </c>
      <c r="DB59" s="592">
        <v>0</v>
      </c>
      <c r="DC59" s="27"/>
      <c r="DD59" s="1">
        <v>0</v>
      </c>
      <c r="DE59" s="1">
        <v>0</v>
      </c>
      <c r="DF59" s="1">
        <v>0</v>
      </c>
      <c r="DG59" s="1">
        <v>0</v>
      </c>
      <c r="DH59" s="1">
        <v>0</v>
      </c>
      <c r="DI59" s="1">
        <v>0</v>
      </c>
      <c r="DJ59" s="1">
        <v>0</v>
      </c>
      <c r="DK59" s="1">
        <v>0</v>
      </c>
      <c r="DL59" s="1">
        <v>0</v>
      </c>
      <c r="DM59" s="1">
        <v>0</v>
      </c>
      <c r="DN59" s="1">
        <v>0</v>
      </c>
      <c r="DO59" s="1">
        <v>0</v>
      </c>
      <c r="DP59" s="1">
        <v>0</v>
      </c>
      <c r="DQ59" s="1">
        <v>0</v>
      </c>
      <c r="DR59" s="27"/>
      <c r="DS59" s="8">
        <v>0</v>
      </c>
      <c r="DT59" s="8">
        <v>0</v>
      </c>
      <c r="DU59" s="8">
        <v>0</v>
      </c>
      <c r="DV59" s="8">
        <v>0</v>
      </c>
      <c r="DW59" s="8">
        <v>0</v>
      </c>
      <c r="DX59" s="8">
        <v>0</v>
      </c>
      <c r="DY59" s="8">
        <v>0</v>
      </c>
      <c r="DZ59" s="8">
        <v>0</v>
      </c>
      <c r="EA59" s="8">
        <v>1.64</v>
      </c>
      <c r="EB59" s="8">
        <v>1</v>
      </c>
      <c r="EC59" s="281">
        <v>0</v>
      </c>
      <c r="ED59" s="395">
        <v>0</v>
      </c>
      <c r="EE59" s="393">
        <v>0</v>
      </c>
      <c r="EF59" s="393">
        <v>0</v>
      </c>
      <c r="EH59" s="65"/>
      <c r="EI59" s="249"/>
    </row>
    <row r="60" spans="1:139" s="26" customFormat="1">
      <c r="A60" s="27" t="s">
        <v>63</v>
      </c>
      <c r="B60" s="27"/>
      <c r="C60" s="8">
        <f t="shared" si="42"/>
        <v>0</v>
      </c>
      <c r="D60" s="8">
        <f t="shared" si="43"/>
        <v>0</v>
      </c>
      <c r="E60" s="8">
        <f t="shared" si="44"/>
        <v>0</v>
      </c>
      <c r="F60" s="8">
        <f t="shared" si="45"/>
        <v>0</v>
      </c>
      <c r="G60" s="8">
        <f t="shared" si="46"/>
        <v>0</v>
      </c>
      <c r="H60" s="8">
        <f t="shared" si="47"/>
        <v>0</v>
      </c>
      <c r="I60" s="8">
        <f t="shared" si="48"/>
        <v>0</v>
      </c>
      <c r="J60" s="8">
        <f t="shared" si="49"/>
        <v>0</v>
      </c>
      <c r="K60" s="8">
        <f t="shared" si="50"/>
        <v>0</v>
      </c>
      <c r="L60" s="8">
        <f t="shared" si="51"/>
        <v>8</v>
      </c>
      <c r="M60" s="8">
        <f t="shared" si="52"/>
        <v>0</v>
      </c>
      <c r="N60" s="8">
        <f t="shared" si="25"/>
        <v>0.7</v>
      </c>
      <c r="O60" s="8">
        <f t="shared" si="53"/>
        <v>5.2567403125080001E-2</v>
      </c>
      <c r="P60" s="8">
        <f t="shared" si="27"/>
        <v>0.25838259659395874</v>
      </c>
      <c r="Q60" s="27"/>
      <c r="R60" s="78">
        <f t="shared" ref="R60:X70" si="63">S60*R$8/S$8</f>
        <v>0</v>
      </c>
      <c r="S60" s="78">
        <f t="shared" si="63"/>
        <v>0</v>
      </c>
      <c r="T60" s="78">
        <f t="shared" si="63"/>
        <v>0</v>
      </c>
      <c r="U60" s="78">
        <f t="shared" si="63"/>
        <v>0</v>
      </c>
      <c r="V60" s="78">
        <f t="shared" si="63"/>
        <v>0</v>
      </c>
      <c r="W60" s="78">
        <f t="shared" si="63"/>
        <v>0</v>
      </c>
      <c r="X60" s="78">
        <f t="shared" si="63"/>
        <v>0</v>
      </c>
      <c r="Y60" s="78">
        <f t="shared" si="59"/>
        <v>0</v>
      </c>
      <c r="Z60" s="592">
        <v>0</v>
      </c>
      <c r="AA60" s="592">
        <v>0</v>
      </c>
      <c r="AB60" s="592">
        <v>0</v>
      </c>
      <c r="AC60" s="592">
        <v>0</v>
      </c>
      <c r="AD60" s="592">
        <v>0</v>
      </c>
      <c r="AE60" s="592">
        <v>0</v>
      </c>
      <c r="AF60" s="27"/>
      <c r="AG60" s="73">
        <f>('Basel data'!F313+'Basel data'!F267)/2</f>
        <v>0</v>
      </c>
      <c r="AH60" s="73">
        <f>('Basel data'!F267+'Basel data'!F221)/2</f>
        <v>0</v>
      </c>
      <c r="AI60" s="73">
        <f>('Basel data'!F221+'Basel data'!F175)/2</f>
        <v>0</v>
      </c>
      <c r="AJ60" s="73">
        <f>('Basel data'!F175+0)/2</f>
        <v>0</v>
      </c>
      <c r="AK60" s="8">
        <v>0</v>
      </c>
      <c r="AL60" s="315">
        <v>0</v>
      </c>
      <c r="AM60" s="8">
        <v>0</v>
      </c>
      <c r="AN60" s="315">
        <v>0</v>
      </c>
      <c r="AO60" s="282">
        <v>0</v>
      </c>
      <c r="AP60" s="8">
        <v>0</v>
      </c>
      <c r="AQ60" s="1">
        <v>0</v>
      </c>
      <c r="AR60" s="282">
        <v>0</v>
      </c>
      <c r="AS60" s="282">
        <v>0</v>
      </c>
      <c r="AT60" s="282">
        <v>0</v>
      </c>
      <c r="AU60" s="27"/>
      <c r="AV60" s="78">
        <f t="shared" ref="AV60:BB70" si="64">AW60*AV$8/AW$8</f>
        <v>0</v>
      </c>
      <c r="AW60" s="78">
        <f t="shared" si="64"/>
        <v>0</v>
      </c>
      <c r="AX60" s="78">
        <f t="shared" si="64"/>
        <v>0</v>
      </c>
      <c r="AY60" s="78">
        <f t="shared" si="64"/>
        <v>0</v>
      </c>
      <c r="AZ60" s="78">
        <f t="shared" si="64"/>
        <v>0</v>
      </c>
      <c r="BA60" s="78">
        <f t="shared" si="64"/>
        <v>0</v>
      </c>
      <c r="BB60" s="78">
        <f t="shared" si="64"/>
        <v>0</v>
      </c>
      <c r="BC60" s="78">
        <f t="shared" si="28"/>
        <v>0</v>
      </c>
      <c r="BD60" s="592">
        <v>0</v>
      </c>
      <c r="BE60" s="592">
        <v>0</v>
      </c>
      <c r="BF60" s="592">
        <v>0</v>
      </c>
      <c r="BG60" s="592">
        <v>0</v>
      </c>
      <c r="BH60" s="592">
        <v>0</v>
      </c>
      <c r="BI60" s="721">
        <v>0</v>
      </c>
      <c r="BJ60" s="27"/>
      <c r="BK60" s="8">
        <v>0</v>
      </c>
      <c r="BL60" s="8">
        <v>0</v>
      </c>
      <c r="BM60" s="8">
        <v>0</v>
      </c>
      <c r="BN60" s="8">
        <v>0</v>
      </c>
      <c r="BO60" s="8">
        <v>0</v>
      </c>
      <c r="BP60" s="8">
        <v>0</v>
      </c>
      <c r="BQ60" s="8">
        <v>0</v>
      </c>
      <c r="BR60" s="8">
        <v>0</v>
      </c>
      <c r="BS60" s="407">
        <v>0</v>
      </c>
      <c r="BT60" s="407">
        <v>0</v>
      </c>
      <c r="BU60" s="408">
        <f t="shared" si="29"/>
        <v>0</v>
      </c>
      <c r="BV60" s="701">
        <v>0</v>
      </c>
      <c r="BW60" s="702">
        <v>5.2567403125080001E-2</v>
      </c>
      <c r="BX60" s="724">
        <v>5.3382596593958755E-2</v>
      </c>
      <c r="BY60" s="27"/>
      <c r="BZ60" s="315">
        <v>0</v>
      </c>
      <c r="CA60" s="315">
        <v>0</v>
      </c>
      <c r="CB60" s="315">
        <v>0</v>
      </c>
      <c r="CC60" s="315">
        <v>0</v>
      </c>
      <c r="CD60" s="315">
        <v>0</v>
      </c>
      <c r="CE60" s="315">
        <v>0</v>
      </c>
      <c r="CF60" s="315">
        <v>0</v>
      </c>
      <c r="CG60" s="315">
        <v>0</v>
      </c>
      <c r="CH60" s="8">
        <v>0</v>
      </c>
      <c r="CI60" s="1">
        <v>0</v>
      </c>
      <c r="CJ60" s="1">
        <v>0</v>
      </c>
      <c r="CK60" s="1">
        <v>0</v>
      </c>
      <c r="CL60" s="1">
        <v>0</v>
      </c>
      <c r="CM60" s="1">
        <v>0</v>
      </c>
      <c r="CN60" s="27"/>
      <c r="CO60" s="78">
        <f t="shared" ref="CO60:CU70" si="65">CP60*CO$8/CP$8</f>
        <v>0</v>
      </c>
      <c r="CP60" s="78">
        <f t="shared" si="65"/>
        <v>0</v>
      </c>
      <c r="CQ60" s="78">
        <f t="shared" si="65"/>
        <v>0</v>
      </c>
      <c r="CR60" s="78">
        <f t="shared" si="65"/>
        <v>0</v>
      </c>
      <c r="CS60" s="78">
        <f t="shared" si="65"/>
        <v>0</v>
      </c>
      <c r="CT60" s="78">
        <f t="shared" si="65"/>
        <v>0</v>
      </c>
      <c r="CU60" s="78">
        <f t="shared" si="65"/>
        <v>0</v>
      </c>
      <c r="CV60" s="78">
        <f t="shared" si="30"/>
        <v>0</v>
      </c>
      <c r="CW60" s="592">
        <v>0</v>
      </c>
      <c r="CX60" s="592">
        <v>0</v>
      </c>
      <c r="CY60" s="592">
        <v>0</v>
      </c>
      <c r="CZ60" s="592">
        <v>0</v>
      </c>
      <c r="DA60" s="592">
        <v>0</v>
      </c>
      <c r="DB60" s="592">
        <v>0</v>
      </c>
      <c r="DC60" s="27"/>
      <c r="DD60" s="1">
        <v>0</v>
      </c>
      <c r="DE60" s="1">
        <v>0</v>
      </c>
      <c r="DF60" s="1">
        <v>0</v>
      </c>
      <c r="DG60" s="1">
        <v>0</v>
      </c>
      <c r="DH60" s="1">
        <v>0</v>
      </c>
      <c r="DI60" s="1">
        <v>0</v>
      </c>
      <c r="DJ60" s="1">
        <v>0</v>
      </c>
      <c r="DK60" s="1">
        <v>0</v>
      </c>
      <c r="DL60" s="1">
        <v>0</v>
      </c>
      <c r="DM60" s="1">
        <v>0</v>
      </c>
      <c r="DN60" s="1">
        <v>0</v>
      </c>
      <c r="DO60" s="1">
        <v>0</v>
      </c>
      <c r="DP60" s="1">
        <v>0</v>
      </c>
      <c r="DQ60" s="1">
        <v>0</v>
      </c>
      <c r="DR60" s="27"/>
      <c r="DS60" s="8">
        <v>0</v>
      </c>
      <c r="DT60" s="8">
        <v>0</v>
      </c>
      <c r="DU60" s="8">
        <v>0</v>
      </c>
      <c r="DV60" s="8">
        <v>0</v>
      </c>
      <c r="DW60" s="8">
        <v>0</v>
      </c>
      <c r="DX60" s="8">
        <v>0</v>
      </c>
      <c r="DY60" s="8">
        <v>0</v>
      </c>
      <c r="DZ60" s="8">
        <v>0</v>
      </c>
      <c r="EA60" s="8">
        <v>0</v>
      </c>
      <c r="EB60" s="8">
        <v>8</v>
      </c>
      <c r="EC60" s="281">
        <v>0</v>
      </c>
      <c r="ED60" s="395">
        <v>0.7</v>
      </c>
      <c r="EE60" s="393">
        <v>0</v>
      </c>
      <c r="EF60" s="393">
        <v>0.20499999999999999</v>
      </c>
      <c r="EH60" s="65"/>
      <c r="EI60" s="249"/>
    </row>
    <row r="61" spans="1:139" s="26" customFormat="1">
      <c r="A61" s="27" t="s">
        <v>64</v>
      </c>
      <c r="B61" s="28"/>
      <c r="C61" s="8">
        <f t="shared" si="42"/>
        <v>8.18</v>
      </c>
      <c r="D61" s="8">
        <f t="shared" si="43"/>
        <v>22.895</v>
      </c>
      <c r="E61" s="8">
        <f t="shared" si="44"/>
        <v>26.803000000000001</v>
      </c>
      <c r="F61" s="8">
        <f t="shared" si="45"/>
        <v>48.800000000000004</v>
      </c>
      <c r="G61" s="8">
        <f t="shared" si="46"/>
        <v>59.642000000000003</v>
      </c>
      <c r="H61" s="8">
        <f t="shared" si="47"/>
        <v>30.7</v>
      </c>
      <c r="I61" s="8">
        <f t="shared" si="48"/>
        <v>26.1</v>
      </c>
      <c r="J61" s="8">
        <f t="shared" si="49"/>
        <v>125.19999999999999</v>
      </c>
      <c r="K61" s="8">
        <f t="shared" si="50"/>
        <v>36.307200000000002</v>
      </c>
      <c r="L61" s="8">
        <f t="shared" si="51"/>
        <v>0.97060000000000002</v>
      </c>
      <c r="M61" s="8">
        <f t="shared" si="52"/>
        <v>1.8116000000000003</v>
      </c>
      <c r="N61" s="8">
        <f t="shared" si="25"/>
        <v>5.1032500000000001</v>
      </c>
      <c r="O61" s="8">
        <f t="shared" si="53"/>
        <v>0</v>
      </c>
      <c r="P61" s="8">
        <f t="shared" si="27"/>
        <v>3.0150999999999999</v>
      </c>
      <c r="Q61" s="28"/>
      <c r="R61" s="78">
        <f t="shared" si="63"/>
        <v>0</v>
      </c>
      <c r="S61" s="78">
        <f t="shared" si="63"/>
        <v>0</v>
      </c>
      <c r="T61" s="78">
        <f t="shared" si="63"/>
        <v>0</v>
      </c>
      <c r="U61" s="78">
        <f t="shared" si="63"/>
        <v>0</v>
      </c>
      <c r="V61" s="78">
        <f t="shared" si="63"/>
        <v>0</v>
      </c>
      <c r="W61" s="78">
        <f t="shared" si="63"/>
        <v>0</v>
      </c>
      <c r="X61" s="78">
        <f t="shared" si="63"/>
        <v>0</v>
      </c>
      <c r="Y61" s="78">
        <f t="shared" si="59"/>
        <v>0</v>
      </c>
      <c r="Z61" s="592">
        <v>0</v>
      </c>
      <c r="AA61" s="592">
        <v>0</v>
      </c>
      <c r="AB61" s="592">
        <v>0</v>
      </c>
      <c r="AC61" s="592">
        <v>0</v>
      </c>
      <c r="AD61" s="592">
        <v>0</v>
      </c>
      <c r="AE61" s="592">
        <v>0</v>
      </c>
      <c r="AF61" s="28"/>
      <c r="AG61" s="73">
        <f>('Basel data'!F307+'Basel data'!F261)/2</f>
        <v>0</v>
      </c>
      <c r="AH61" s="73">
        <f>('Basel data'!F261+'Basel data'!F215)/2</f>
        <v>0</v>
      </c>
      <c r="AI61" s="73">
        <f>('Basel data'!F215+'Basel data'!F169)/2</f>
        <v>0</v>
      </c>
      <c r="AJ61" s="73">
        <f>('Basel data'!F169+0)/2</f>
        <v>0</v>
      </c>
      <c r="AK61" s="8">
        <v>0</v>
      </c>
      <c r="AL61" s="315">
        <v>0</v>
      </c>
      <c r="AM61" s="8">
        <v>0</v>
      </c>
      <c r="AN61" s="315">
        <v>0</v>
      </c>
      <c r="AO61" s="282">
        <v>0</v>
      </c>
      <c r="AP61" s="8">
        <v>0</v>
      </c>
      <c r="AQ61" s="1">
        <v>0</v>
      </c>
      <c r="AR61" s="282">
        <v>5</v>
      </c>
      <c r="AS61" s="282">
        <v>0</v>
      </c>
      <c r="AT61" s="282">
        <v>0</v>
      </c>
      <c r="AU61" s="28"/>
      <c r="AV61" s="78">
        <f t="shared" si="64"/>
        <v>0</v>
      </c>
      <c r="AW61" s="78">
        <f t="shared" si="64"/>
        <v>0</v>
      </c>
      <c r="AX61" s="78">
        <f t="shared" si="64"/>
        <v>0</v>
      </c>
      <c r="AY61" s="78">
        <f t="shared" si="64"/>
        <v>0</v>
      </c>
      <c r="AZ61" s="78">
        <f t="shared" si="64"/>
        <v>0</v>
      </c>
      <c r="BA61" s="78">
        <f t="shared" si="64"/>
        <v>0</v>
      </c>
      <c r="BB61" s="78">
        <f t="shared" si="64"/>
        <v>0</v>
      </c>
      <c r="BC61" s="78">
        <f t="shared" si="28"/>
        <v>0</v>
      </c>
      <c r="BD61" s="592">
        <v>0</v>
      </c>
      <c r="BE61" s="592">
        <v>0</v>
      </c>
      <c r="BF61" s="592">
        <v>0</v>
      </c>
      <c r="BG61" s="592">
        <v>0</v>
      </c>
      <c r="BH61" s="592">
        <v>0</v>
      </c>
      <c r="BI61" s="721">
        <v>0</v>
      </c>
      <c r="BJ61" s="28"/>
      <c r="BK61" s="8">
        <v>0</v>
      </c>
      <c r="BL61" s="8">
        <v>22.48</v>
      </c>
      <c r="BM61" s="8">
        <v>3.702</v>
      </c>
      <c r="BN61" s="8">
        <v>1.48</v>
      </c>
      <c r="BO61" s="8">
        <v>35.002000000000002</v>
      </c>
      <c r="BP61" s="8">
        <v>0.4</v>
      </c>
      <c r="BQ61" s="8">
        <v>0</v>
      </c>
      <c r="BR61" s="8">
        <v>70.47999999999999</v>
      </c>
      <c r="BS61" s="407">
        <v>2.7040000000000002</v>
      </c>
      <c r="BT61" s="407">
        <v>0</v>
      </c>
      <c r="BU61" s="408">
        <f t="shared" si="29"/>
        <v>0</v>
      </c>
      <c r="BV61" s="701">
        <v>0</v>
      </c>
      <c r="BW61" s="702">
        <v>0</v>
      </c>
      <c r="BX61" s="724">
        <v>0</v>
      </c>
      <c r="BY61" s="28"/>
      <c r="BZ61" s="315">
        <v>0</v>
      </c>
      <c r="CA61" s="315">
        <v>0</v>
      </c>
      <c r="CB61" s="315">
        <v>0</v>
      </c>
      <c r="CC61" s="315">
        <v>0.4</v>
      </c>
      <c r="CD61" s="315">
        <v>0</v>
      </c>
      <c r="CE61" s="315">
        <v>0</v>
      </c>
      <c r="CF61" s="315">
        <v>0</v>
      </c>
      <c r="CG61" s="315">
        <v>0</v>
      </c>
      <c r="CH61" s="8">
        <v>0</v>
      </c>
      <c r="CI61" s="8">
        <v>0</v>
      </c>
      <c r="CJ61" s="1">
        <v>7.6E-3</v>
      </c>
      <c r="CK61" s="1">
        <v>0</v>
      </c>
      <c r="CL61" s="1">
        <v>0</v>
      </c>
      <c r="CM61" s="1">
        <v>1E-4</v>
      </c>
      <c r="CN61" s="28"/>
      <c r="CO61" s="78">
        <f t="shared" si="65"/>
        <v>0</v>
      </c>
      <c r="CP61" s="78">
        <f t="shared" si="65"/>
        <v>0</v>
      </c>
      <c r="CQ61" s="78">
        <f t="shared" si="65"/>
        <v>0</v>
      </c>
      <c r="CR61" s="78">
        <f t="shared" si="65"/>
        <v>0</v>
      </c>
      <c r="CS61" s="78">
        <f t="shared" si="65"/>
        <v>0</v>
      </c>
      <c r="CT61" s="78">
        <f t="shared" si="65"/>
        <v>0</v>
      </c>
      <c r="CU61" s="78">
        <f t="shared" si="65"/>
        <v>0</v>
      </c>
      <c r="CV61" s="78">
        <f t="shared" si="30"/>
        <v>0</v>
      </c>
      <c r="CW61" s="592">
        <v>0</v>
      </c>
      <c r="CX61" s="592">
        <v>0</v>
      </c>
      <c r="CY61" s="592">
        <v>0</v>
      </c>
      <c r="CZ61" s="592">
        <v>0</v>
      </c>
      <c r="DA61" s="592">
        <v>0</v>
      </c>
      <c r="DB61" s="592">
        <v>0</v>
      </c>
      <c r="DC61" s="28"/>
      <c r="DD61" s="8">
        <v>0</v>
      </c>
      <c r="DE61" s="8">
        <v>0.33499999999999996</v>
      </c>
      <c r="DF61" s="8">
        <v>1.601</v>
      </c>
      <c r="DG61" s="8">
        <v>1</v>
      </c>
      <c r="DH61" s="8">
        <v>0</v>
      </c>
      <c r="DI61" s="8">
        <v>29.46</v>
      </c>
      <c r="DJ61" s="8">
        <v>24.1</v>
      </c>
      <c r="DK61" s="8">
        <v>54.72</v>
      </c>
      <c r="DL61" s="8">
        <v>0</v>
      </c>
      <c r="DM61" s="8">
        <v>0</v>
      </c>
      <c r="DN61" s="1">
        <v>0</v>
      </c>
      <c r="DO61" s="1">
        <v>0</v>
      </c>
      <c r="DP61" s="1">
        <v>0</v>
      </c>
      <c r="DQ61" s="1">
        <v>0</v>
      </c>
      <c r="DR61" s="28"/>
      <c r="DS61" s="8">
        <v>8.18</v>
      </c>
      <c r="DT61" s="8">
        <v>0.08</v>
      </c>
      <c r="DU61" s="8">
        <v>21.5</v>
      </c>
      <c r="DV61" s="8">
        <v>45.92</v>
      </c>
      <c r="DW61" s="8">
        <v>24.64</v>
      </c>
      <c r="DX61" s="8">
        <v>0.84</v>
      </c>
      <c r="DY61" s="8">
        <v>2</v>
      </c>
      <c r="DZ61" s="8">
        <v>0</v>
      </c>
      <c r="EA61" s="8">
        <v>33.603200000000001</v>
      </c>
      <c r="EB61" s="8">
        <v>0.97060000000000002</v>
      </c>
      <c r="EC61" s="281">
        <v>1.8040000000000003</v>
      </c>
      <c r="ED61" s="395">
        <v>0.10325000000000001</v>
      </c>
      <c r="EE61" s="393">
        <v>0</v>
      </c>
      <c r="EF61" s="393">
        <v>3.0149999999999997</v>
      </c>
      <c r="EH61" s="65"/>
      <c r="EI61" s="249"/>
    </row>
    <row r="62" spans="1:139" s="26" customFormat="1">
      <c r="A62" s="27" t="s">
        <v>39</v>
      </c>
      <c r="B62" s="27"/>
      <c r="C62" s="8">
        <f t="shared" si="42"/>
        <v>127.76339408671944</v>
      </c>
      <c r="D62" s="8">
        <f t="shared" si="43"/>
        <v>146.16904490918307</v>
      </c>
      <c r="E62" s="8">
        <f t="shared" si="44"/>
        <v>70.787771372498781</v>
      </c>
      <c r="F62" s="8">
        <f t="shared" si="45"/>
        <v>118.12233605796867</v>
      </c>
      <c r="G62" s="8">
        <f t="shared" si="46"/>
        <v>104.93480604525722</v>
      </c>
      <c r="H62" s="8">
        <f t="shared" si="47"/>
        <v>180.66642912116828</v>
      </c>
      <c r="I62" s="8">
        <f t="shared" si="48"/>
        <v>222.43413087093808</v>
      </c>
      <c r="J62" s="8">
        <f t="shared" si="49"/>
        <v>227.25922490461778</v>
      </c>
      <c r="K62" s="8">
        <f t="shared" si="50"/>
        <v>319.03640899999999</v>
      </c>
      <c r="L62" s="8">
        <f t="shared" si="51"/>
        <v>251.96693000000002</v>
      </c>
      <c r="M62" s="8">
        <f t="shared" si="52"/>
        <v>314.5573857382621</v>
      </c>
      <c r="N62" s="8">
        <f t="shared" si="25"/>
        <v>220.02831592706826</v>
      </c>
      <c r="O62" s="8">
        <f t="shared" si="53"/>
        <v>253.72734659522416</v>
      </c>
      <c r="P62" s="8">
        <f t="shared" si="27"/>
        <v>368.58657261763483</v>
      </c>
      <c r="Q62" s="27"/>
      <c r="R62" s="78">
        <f t="shared" si="63"/>
        <v>0</v>
      </c>
      <c r="S62" s="78">
        <f t="shared" si="63"/>
        <v>0</v>
      </c>
      <c r="T62" s="78">
        <f t="shared" si="63"/>
        <v>0</v>
      </c>
      <c r="U62" s="78">
        <f t="shared" si="63"/>
        <v>0</v>
      </c>
      <c r="V62" s="78">
        <f t="shared" si="63"/>
        <v>0</v>
      </c>
      <c r="W62" s="78">
        <f t="shared" si="63"/>
        <v>0</v>
      </c>
      <c r="X62" s="78">
        <f t="shared" si="63"/>
        <v>0</v>
      </c>
      <c r="Y62" s="78">
        <f t="shared" si="59"/>
        <v>0</v>
      </c>
      <c r="Z62" s="592">
        <v>0</v>
      </c>
      <c r="AA62" s="592">
        <v>0</v>
      </c>
      <c r="AB62" s="592">
        <v>0</v>
      </c>
      <c r="AC62" s="592">
        <v>0</v>
      </c>
      <c r="AD62" s="592">
        <v>0</v>
      </c>
      <c r="AE62" s="592">
        <v>0</v>
      </c>
      <c r="AF62" s="27"/>
      <c r="AG62" s="78">
        <f t="shared" ref="AG62:AJ63" si="66">AH62/AH$8*AG$8</f>
        <v>18.288411748869169</v>
      </c>
      <c r="AH62" s="78">
        <f t="shared" si="66"/>
        <v>18.551687521997202</v>
      </c>
      <c r="AI62" s="78">
        <f t="shared" si="66"/>
        <v>18.869503841910696</v>
      </c>
      <c r="AJ62" s="78">
        <f t="shared" si="66"/>
        <v>19.138250378452824</v>
      </c>
      <c r="AK62" s="8">
        <v>19.349500000000003</v>
      </c>
      <c r="AL62" s="315">
        <v>106.78</v>
      </c>
      <c r="AM62" s="8">
        <v>101.20650000000001</v>
      </c>
      <c r="AN62" s="315">
        <v>46.255499999999998</v>
      </c>
      <c r="AO62" s="282">
        <v>2.1799999999999997</v>
      </c>
      <c r="AP62" s="8">
        <v>33.515999999999998</v>
      </c>
      <c r="AQ62" s="1">
        <v>43.744</v>
      </c>
      <c r="AR62" s="282">
        <v>48.368564450544064</v>
      </c>
      <c r="AS62" s="282">
        <v>56.884</v>
      </c>
      <c r="AT62" s="282">
        <v>90.783184000000006</v>
      </c>
      <c r="AU62" s="27"/>
      <c r="AV62" s="78">
        <f t="shared" si="64"/>
        <v>0.35398233785028282</v>
      </c>
      <c r="AW62" s="78">
        <f t="shared" si="64"/>
        <v>0.36335738718589661</v>
      </c>
      <c r="AX62" s="78">
        <f t="shared" si="64"/>
        <v>0.37326753058808049</v>
      </c>
      <c r="AY62" s="78">
        <f t="shared" si="64"/>
        <v>0.38208567951585315</v>
      </c>
      <c r="AZ62" s="78">
        <f t="shared" si="64"/>
        <v>0.38630604525720302</v>
      </c>
      <c r="BA62" s="78">
        <f t="shared" si="64"/>
        <v>0.39042912116826733</v>
      </c>
      <c r="BB62" s="78">
        <f t="shared" si="64"/>
        <v>0.40163087093803451</v>
      </c>
      <c r="BC62" s="78">
        <f t="shared" si="28"/>
        <v>0.40772490461781347</v>
      </c>
      <c r="BD62" s="592">
        <v>0</v>
      </c>
      <c r="BE62" s="592">
        <v>0</v>
      </c>
      <c r="BF62" s="592">
        <v>0</v>
      </c>
      <c r="BG62" s="592">
        <v>0</v>
      </c>
      <c r="BH62" s="592">
        <v>2.04</v>
      </c>
      <c r="BI62" s="592">
        <v>1</v>
      </c>
      <c r="BJ62" s="27"/>
      <c r="BK62" s="8">
        <v>47.823999999999998</v>
      </c>
      <c r="BL62" s="8">
        <v>6.1539999999999999</v>
      </c>
      <c r="BM62" s="8">
        <v>4.5540000000000003</v>
      </c>
      <c r="BN62" s="8">
        <v>61.97</v>
      </c>
      <c r="BO62" s="8">
        <v>21.849</v>
      </c>
      <c r="BP62" s="8">
        <v>27.615000000000002</v>
      </c>
      <c r="BQ62" s="8">
        <v>49.38</v>
      </c>
      <c r="BR62" s="8">
        <v>77.081999999999994</v>
      </c>
      <c r="BS62" s="407">
        <v>36.288499999999999</v>
      </c>
      <c r="BT62" s="407">
        <v>78.459500000000006</v>
      </c>
      <c r="BU62" s="408">
        <f t="shared" si="29"/>
        <v>95.328375738262096</v>
      </c>
      <c r="BV62" s="701">
        <v>112.19725147652419</v>
      </c>
      <c r="BW62" s="702">
        <v>153.45683659522413</v>
      </c>
      <c r="BX62" s="724">
        <v>150.36168261763487</v>
      </c>
      <c r="BY62" s="27"/>
      <c r="BZ62" s="315">
        <v>6.22</v>
      </c>
      <c r="CA62" s="315">
        <v>73.209999999999994</v>
      </c>
      <c r="CB62" s="315">
        <v>0</v>
      </c>
      <c r="CC62" s="315">
        <v>0.2</v>
      </c>
      <c r="CD62" s="315">
        <v>1.62</v>
      </c>
      <c r="CE62" s="315">
        <v>0</v>
      </c>
      <c r="CF62" s="315">
        <v>2.59</v>
      </c>
      <c r="CG62" s="315">
        <v>45.97</v>
      </c>
      <c r="CH62" s="8">
        <v>34.396908999999994</v>
      </c>
      <c r="CI62" s="8">
        <v>17.444430000000001</v>
      </c>
      <c r="CJ62" s="1">
        <v>2.1110100000000003</v>
      </c>
      <c r="CK62" s="1">
        <v>3.4706999999999999</v>
      </c>
      <c r="CL62" s="1">
        <v>6.0945099999999996</v>
      </c>
      <c r="CM62" s="1">
        <v>12.13800599999999</v>
      </c>
      <c r="CN62" s="27"/>
      <c r="CO62" s="78">
        <f t="shared" si="65"/>
        <v>0</v>
      </c>
      <c r="CP62" s="78">
        <f t="shared" si="65"/>
        <v>0</v>
      </c>
      <c r="CQ62" s="78">
        <f t="shared" si="65"/>
        <v>0</v>
      </c>
      <c r="CR62" s="78">
        <f t="shared" si="65"/>
        <v>0</v>
      </c>
      <c r="CS62" s="78">
        <f t="shared" si="65"/>
        <v>0</v>
      </c>
      <c r="CT62" s="78">
        <f t="shared" si="65"/>
        <v>0</v>
      </c>
      <c r="CU62" s="78">
        <f t="shared" si="65"/>
        <v>0</v>
      </c>
      <c r="CV62" s="78">
        <f t="shared" si="30"/>
        <v>0</v>
      </c>
      <c r="CW62" s="592">
        <v>0</v>
      </c>
      <c r="CX62" s="592">
        <v>0</v>
      </c>
      <c r="CY62" s="592">
        <v>0</v>
      </c>
      <c r="CZ62" s="592">
        <v>0</v>
      </c>
      <c r="DA62" s="592">
        <v>0</v>
      </c>
      <c r="DB62" s="592">
        <v>0</v>
      </c>
      <c r="DC62" s="27"/>
      <c r="DD62" s="8">
        <v>53.524000000000008</v>
      </c>
      <c r="DE62" s="8">
        <v>47.079999999999991</v>
      </c>
      <c r="DF62" s="8">
        <v>44.741</v>
      </c>
      <c r="DG62" s="8">
        <v>31.08199999999999</v>
      </c>
      <c r="DH62" s="8">
        <v>32.855000000000011</v>
      </c>
      <c r="DI62" s="8">
        <v>29.040999999999997</v>
      </c>
      <c r="DJ62" s="8">
        <v>13.526</v>
      </c>
      <c r="DK62" s="8">
        <v>44.147000000000006</v>
      </c>
      <c r="DL62" s="8">
        <v>54.285000000000004</v>
      </c>
      <c r="DM62" s="8">
        <v>83.518999999999991</v>
      </c>
      <c r="DN62" s="1">
        <v>50.83</v>
      </c>
      <c r="DO62" s="1">
        <v>26.831499999999998</v>
      </c>
      <c r="DP62" s="1">
        <v>26.832999999999998</v>
      </c>
      <c r="DQ62" s="394">
        <v>69.106200000000001</v>
      </c>
      <c r="DR62" s="27"/>
      <c r="DS62" s="8">
        <v>1.5529999999999999</v>
      </c>
      <c r="DT62" s="8">
        <v>0.81</v>
      </c>
      <c r="DU62" s="8">
        <v>2.25</v>
      </c>
      <c r="DV62" s="8">
        <v>5.3500000000000005</v>
      </c>
      <c r="DW62" s="8">
        <v>28.875</v>
      </c>
      <c r="DX62" s="8">
        <v>16.84</v>
      </c>
      <c r="DY62" s="8">
        <v>55.33</v>
      </c>
      <c r="DZ62" s="8">
        <v>13.397</v>
      </c>
      <c r="EA62" s="8">
        <v>191.886</v>
      </c>
      <c r="EB62" s="8">
        <v>39.027999999999999</v>
      </c>
      <c r="EC62" s="281">
        <v>122.54399999999997</v>
      </c>
      <c r="ED62" s="395">
        <v>29.160299999999999</v>
      </c>
      <c r="EE62" s="393">
        <v>8.4190000000000005</v>
      </c>
      <c r="EF62" s="393">
        <v>45.197500000000005</v>
      </c>
      <c r="EH62" s="65"/>
      <c r="EI62" s="249"/>
    </row>
    <row r="63" spans="1:139" s="26" customFormat="1">
      <c r="A63" s="27" t="s">
        <v>40</v>
      </c>
      <c r="B63" s="28"/>
      <c r="C63" s="8">
        <f t="shared" si="42"/>
        <v>1058.1746234020488</v>
      </c>
      <c r="D63" s="8">
        <f t="shared" si="43"/>
        <v>1189.5345523723063</v>
      </c>
      <c r="E63" s="8">
        <f t="shared" si="44"/>
        <v>75.919237814367222</v>
      </c>
      <c r="F63" s="8">
        <f t="shared" si="45"/>
        <v>190.70059449322878</v>
      </c>
      <c r="G63" s="8">
        <f t="shared" si="46"/>
        <v>108.7708628836489</v>
      </c>
      <c r="H63" s="8">
        <f t="shared" si="47"/>
        <v>265.162642732743</v>
      </c>
      <c r="I63" s="8">
        <f t="shared" si="48"/>
        <v>4205.206805419738</v>
      </c>
      <c r="J63" s="8">
        <f t="shared" si="49"/>
        <v>2769.5016768580276</v>
      </c>
      <c r="K63" s="8">
        <f t="shared" si="50"/>
        <v>2919.3402999999998</v>
      </c>
      <c r="L63" s="8">
        <f t="shared" si="51"/>
        <v>1457.71</v>
      </c>
      <c r="M63" s="8">
        <f t="shared" si="52"/>
        <v>1298.874</v>
      </c>
      <c r="N63" s="8">
        <f t="shared" si="25"/>
        <v>1590.8830000000003</v>
      </c>
      <c r="O63" s="8">
        <f t="shared" si="53"/>
        <v>1076.5013874553506</v>
      </c>
      <c r="P63" s="8">
        <f t="shared" si="27"/>
        <v>2069.5789913133649</v>
      </c>
      <c r="Q63" s="28"/>
      <c r="R63" s="78">
        <f t="shared" si="63"/>
        <v>0</v>
      </c>
      <c r="S63" s="78">
        <f t="shared" si="63"/>
        <v>0</v>
      </c>
      <c r="T63" s="78">
        <f t="shared" si="63"/>
        <v>0</v>
      </c>
      <c r="U63" s="78">
        <f t="shared" si="63"/>
        <v>0</v>
      </c>
      <c r="V63" s="78">
        <f t="shared" si="63"/>
        <v>0</v>
      </c>
      <c r="W63" s="78">
        <f t="shared" si="63"/>
        <v>0</v>
      </c>
      <c r="X63" s="78">
        <f t="shared" si="63"/>
        <v>0</v>
      </c>
      <c r="Y63" s="78">
        <f t="shared" si="59"/>
        <v>0</v>
      </c>
      <c r="Z63" s="592">
        <v>0</v>
      </c>
      <c r="AA63" s="592">
        <v>0</v>
      </c>
      <c r="AB63" s="592">
        <v>0</v>
      </c>
      <c r="AC63" s="592">
        <v>0</v>
      </c>
      <c r="AD63" s="592">
        <v>0</v>
      </c>
      <c r="AE63" s="592">
        <v>0</v>
      </c>
      <c r="AF63" s="28"/>
      <c r="AG63" s="78">
        <f t="shared" si="66"/>
        <v>0</v>
      </c>
      <c r="AH63" s="78">
        <f t="shared" si="66"/>
        <v>0</v>
      </c>
      <c r="AI63" s="78">
        <f t="shared" si="66"/>
        <v>0</v>
      </c>
      <c r="AJ63" s="78">
        <f t="shared" si="66"/>
        <v>0</v>
      </c>
      <c r="AK63" s="8">
        <v>0</v>
      </c>
      <c r="AL63" s="315">
        <v>0</v>
      </c>
      <c r="AM63" s="8">
        <v>0</v>
      </c>
      <c r="AN63" s="315">
        <v>0</v>
      </c>
      <c r="AO63" s="282">
        <v>0</v>
      </c>
      <c r="AP63" s="8">
        <v>0</v>
      </c>
      <c r="AQ63" s="1">
        <v>0</v>
      </c>
      <c r="AR63" s="282">
        <v>3.23</v>
      </c>
      <c r="AS63" s="282">
        <v>0</v>
      </c>
      <c r="AT63" s="282">
        <v>0</v>
      </c>
      <c r="AU63" s="28"/>
      <c r="AV63" s="78">
        <f t="shared" si="64"/>
        <v>3.2101339461912906</v>
      </c>
      <c r="AW63" s="78">
        <f t="shared" si="64"/>
        <v>3.295152775950533</v>
      </c>
      <c r="AX63" s="78">
        <f t="shared" si="64"/>
        <v>3.3850241744507303</v>
      </c>
      <c r="AY63" s="78">
        <f t="shared" si="64"/>
        <v>3.4649926818839623</v>
      </c>
      <c r="AZ63" s="78">
        <f t="shared" si="64"/>
        <v>3.5032656064991445</v>
      </c>
      <c r="BA63" s="78">
        <f t="shared" si="64"/>
        <v>3.5406562458886985</v>
      </c>
      <c r="BB63" s="78">
        <f t="shared" si="64"/>
        <v>3.6422407413498226</v>
      </c>
      <c r="BC63" s="78">
        <f t="shared" si="28"/>
        <v>3.697505262465465</v>
      </c>
      <c r="BD63" s="592">
        <v>0</v>
      </c>
      <c r="BE63" s="592">
        <v>0</v>
      </c>
      <c r="BF63" s="592">
        <v>0</v>
      </c>
      <c r="BG63" s="592">
        <v>0</v>
      </c>
      <c r="BH63" s="592">
        <v>18.5</v>
      </c>
      <c r="BI63" s="721">
        <v>0</v>
      </c>
      <c r="BJ63" s="28"/>
      <c r="BK63" s="8">
        <v>997.20600000000002</v>
      </c>
      <c r="BL63" s="8">
        <v>1058.06</v>
      </c>
      <c r="BM63" s="8">
        <v>3</v>
      </c>
      <c r="BN63" s="8">
        <v>101.55199999999999</v>
      </c>
      <c r="BO63" s="8">
        <v>19.04</v>
      </c>
      <c r="BP63" s="8">
        <v>110.52500000000001</v>
      </c>
      <c r="BQ63" s="8">
        <v>360.22500000000002</v>
      </c>
      <c r="BR63" s="8">
        <v>372.90900000000005</v>
      </c>
      <c r="BS63" s="407">
        <v>220.66</v>
      </c>
      <c r="BT63" s="407">
        <v>201.7</v>
      </c>
      <c r="BU63" s="408">
        <f t="shared" si="29"/>
        <v>637.65600000000006</v>
      </c>
      <c r="BV63" s="701">
        <v>1073.6120000000001</v>
      </c>
      <c r="BW63" s="702">
        <v>230.37138745535054</v>
      </c>
      <c r="BX63" s="724">
        <v>233.94389131336482</v>
      </c>
      <c r="BY63" s="28"/>
      <c r="BZ63" s="315">
        <v>0</v>
      </c>
      <c r="CA63" s="315">
        <v>0.16999999999999998</v>
      </c>
      <c r="CB63" s="315">
        <v>0</v>
      </c>
      <c r="CC63" s="315">
        <v>18.37</v>
      </c>
      <c r="CD63" s="315">
        <v>34.46</v>
      </c>
      <c r="CE63" s="315">
        <v>5.5</v>
      </c>
      <c r="CF63" s="315">
        <v>3686.6600000000003</v>
      </c>
      <c r="CG63" s="315">
        <v>2276.81</v>
      </c>
      <c r="CH63" s="8">
        <v>2650.8103000000001</v>
      </c>
      <c r="CI63" s="8">
        <v>1084.1500000000001</v>
      </c>
      <c r="CJ63" s="1">
        <v>499</v>
      </c>
      <c r="CK63" s="1">
        <v>310.71000000000004</v>
      </c>
      <c r="CL63" s="1">
        <v>86.56</v>
      </c>
      <c r="CM63" s="1">
        <v>0</v>
      </c>
      <c r="CN63" s="28"/>
      <c r="CO63" s="78">
        <f t="shared" si="65"/>
        <v>4.9694894558577074</v>
      </c>
      <c r="CP63" s="78">
        <f t="shared" si="65"/>
        <v>5.0133995963555353</v>
      </c>
      <c r="CQ63" s="78">
        <f t="shared" si="65"/>
        <v>5.0732136399164727</v>
      </c>
      <c r="CR63" s="78">
        <f t="shared" si="65"/>
        <v>5.1206018113448222</v>
      </c>
      <c r="CS63" s="78">
        <f t="shared" si="65"/>
        <v>5.1585972771497586</v>
      </c>
      <c r="CT63" s="78">
        <f t="shared" si="65"/>
        <v>5.174986486854336</v>
      </c>
      <c r="CU63" s="78">
        <f t="shared" si="65"/>
        <v>5.1775646783871361</v>
      </c>
      <c r="CV63" s="78">
        <f t="shared" si="30"/>
        <v>5.1891715955622457</v>
      </c>
      <c r="CW63" s="592">
        <v>0</v>
      </c>
      <c r="CX63" s="592">
        <v>26</v>
      </c>
      <c r="CY63" s="592">
        <v>0</v>
      </c>
      <c r="CZ63" s="592">
        <v>0</v>
      </c>
      <c r="DA63" s="592">
        <v>0</v>
      </c>
      <c r="DB63" s="592">
        <v>0</v>
      </c>
      <c r="DC63" s="28"/>
      <c r="DD63" s="8">
        <v>52.788999999999987</v>
      </c>
      <c r="DE63" s="8">
        <v>122.996</v>
      </c>
      <c r="DF63" s="8">
        <v>64.461000000000013</v>
      </c>
      <c r="DG63" s="8">
        <v>62.193000000000012</v>
      </c>
      <c r="DH63" s="8">
        <v>46.609000000000009</v>
      </c>
      <c r="DI63" s="8">
        <v>140.42199999999997</v>
      </c>
      <c r="DJ63" s="8">
        <v>149.50200000000001</v>
      </c>
      <c r="DK63" s="8">
        <v>110.896</v>
      </c>
      <c r="DL63" s="8">
        <v>36.869999999999997</v>
      </c>
      <c r="DM63" s="8">
        <v>133.76000000000005</v>
      </c>
      <c r="DN63" s="1">
        <v>147.4</v>
      </c>
      <c r="DO63" s="1">
        <v>202.08100000000002</v>
      </c>
      <c r="DP63" s="1">
        <v>306.03999999999996</v>
      </c>
      <c r="DQ63" s="394">
        <v>86.1751</v>
      </c>
      <c r="DR63" s="28"/>
      <c r="DS63" s="8">
        <v>0</v>
      </c>
      <c r="DT63" s="8">
        <v>0</v>
      </c>
      <c r="DU63" s="8">
        <v>0</v>
      </c>
      <c r="DV63" s="8">
        <v>0</v>
      </c>
      <c r="DW63" s="8">
        <v>0</v>
      </c>
      <c r="DX63" s="8">
        <v>0</v>
      </c>
      <c r="DY63" s="8">
        <v>0</v>
      </c>
      <c r="DZ63" s="8">
        <v>0</v>
      </c>
      <c r="EA63" s="8">
        <v>11</v>
      </c>
      <c r="EB63" s="8">
        <v>12.1</v>
      </c>
      <c r="EC63" s="281">
        <v>14.817999999999998</v>
      </c>
      <c r="ED63" s="395">
        <v>1.25</v>
      </c>
      <c r="EE63" s="393">
        <v>435.03000000000014</v>
      </c>
      <c r="EF63" s="393">
        <v>1749.4600000000003</v>
      </c>
      <c r="EH63" s="65"/>
      <c r="EI63" s="249"/>
    </row>
    <row r="64" spans="1:139" s="26" customFormat="1">
      <c r="A64" s="27" t="s">
        <v>41</v>
      </c>
      <c r="C64" s="8">
        <f t="shared" si="42"/>
        <v>15771.888546751958</v>
      </c>
      <c r="D64" s="8">
        <f t="shared" si="43"/>
        <v>13207.258053586755</v>
      </c>
      <c r="E64" s="8">
        <f t="shared" si="44"/>
        <v>14688.10495769372</v>
      </c>
      <c r="F64" s="8">
        <f t="shared" si="45"/>
        <v>11888.808475502072</v>
      </c>
      <c r="G64" s="8">
        <f t="shared" si="46"/>
        <v>12000.836478973342</v>
      </c>
      <c r="H64" s="8">
        <f t="shared" si="47"/>
        <v>15447.280153245307</v>
      </c>
      <c r="I64" s="8">
        <f t="shared" si="48"/>
        <v>11010.709451652217</v>
      </c>
      <c r="J64" s="8">
        <f t="shared" si="49"/>
        <v>21606.433960566919</v>
      </c>
      <c r="K64" s="8">
        <f t="shared" si="50"/>
        <v>12810.667345</v>
      </c>
      <c r="L64" s="8">
        <f t="shared" si="51"/>
        <v>14215.233365999999</v>
      </c>
      <c r="M64" s="8">
        <f t="shared" si="52"/>
        <v>16837.447292516335</v>
      </c>
      <c r="N64" s="8">
        <f t="shared" si="25"/>
        <v>21209.952026543357</v>
      </c>
      <c r="O64" s="8">
        <f t="shared" si="53"/>
        <v>16154.339101912481</v>
      </c>
      <c r="P64" s="8">
        <f t="shared" si="27"/>
        <v>14218.406392180887</v>
      </c>
      <c r="R64" s="78">
        <f t="shared" si="63"/>
        <v>2.2920151126450241</v>
      </c>
      <c r="S64" s="78">
        <f t="shared" si="63"/>
        <v>2.3312673980209104</v>
      </c>
      <c r="T64" s="78">
        <f t="shared" si="63"/>
        <v>2.3781737097082298</v>
      </c>
      <c r="U64" s="78">
        <f t="shared" si="63"/>
        <v>2.4239488511353642</v>
      </c>
      <c r="V64" s="78">
        <f t="shared" si="63"/>
        <v>2.4711870630786663</v>
      </c>
      <c r="W64" s="78">
        <f t="shared" si="63"/>
        <v>2.5183710872250726</v>
      </c>
      <c r="X64" s="78">
        <f t="shared" si="63"/>
        <v>2.5738390708218177</v>
      </c>
      <c r="Y64" s="78">
        <f t="shared" si="59"/>
        <v>2.6193974610613715</v>
      </c>
      <c r="Z64" s="592">
        <v>0</v>
      </c>
      <c r="AA64" s="592">
        <v>8.0079999999999991</v>
      </c>
      <c r="AB64" s="592">
        <v>5.2129999999999992</v>
      </c>
      <c r="AC64" s="592">
        <v>5.1000000000000004E-2</v>
      </c>
      <c r="AD64" s="592">
        <v>2.4500000000000001E-2</v>
      </c>
      <c r="AE64" s="592">
        <v>6.1710000000000003</v>
      </c>
      <c r="AG64" s="78">
        <f>(AH64/AH8)*AG8</f>
        <v>9417.7489291470756</v>
      </c>
      <c r="AH64" s="78">
        <f>(AI64/AI8)*AH8</f>
        <v>9553.3246786705531</v>
      </c>
      <c r="AI64" s="78">
        <f>(AJ64/AJ8)*AI8</f>
        <v>9716.9864743273483</v>
      </c>
      <c r="AJ64" s="78">
        <f>(AK64/AK8)*AJ8</f>
        <v>9855.3794327474861</v>
      </c>
      <c r="AK64" s="313">
        <f>9735.463942+'NEPM data'!G423</f>
        <v>9964.163942000001</v>
      </c>
      <c r="AL64" s="317">
        <f>12426.09958+'NEPM data'!G408</f>
        <v>12904.379580000001</v>
      </c>
      <c r="AM64" s="313">
        <f>8504.96062000001+'NEPM data'!G393</f>
        <v>9466.0306200000105</v>
      </c>
      <c r="AN64" s="317">
        <f>9808.26985000001+4843</f>
        <v>14651.26985000001</v>
      </c>
      <c r="AO64" s="282">
        <v>10656.672499999999</v>
      </c>
      <c r="AP64" s="313">
        <f>6956+4955</f>
        <v>11911</v>
      </c>
      <c r="AQ64" s="1">
        <v>13814.3577</v>
      </c>
      <c r="AR64" s="282">
        <v>17870.184991510687</v>
      </c>
      <c r="AS64" s="282">
        <v>7331.3415800000012</v>
      </c>
      <c r="AT64" s="282">
        <v>2826.878999999999</v>
      </c>
      <c r="AV64" s="78">
        <f t="shared" si="64"/>
        <v>5.4801324480331557</v>
      </c>
      <c r="AW64" s="78">
        <f t="shared" si="64"/>
        <v>5.6252710794632304</v>
      </c>
      <c r="AX64" s="78">
        <f t="shared" si="64"/>
        <v>5.778693701486648</v>
      </c>
      <c r="AY64" s="78">
        <f t="shared" si="64"/>
        <v>5.9152107502302336</v>
      </c>
      <c r="AZ64" s="78">
        <f t="shared" si="64"/>
        <v>5.9805478045651892</v>
      </c>
      <c r="BA64" s="78">
        <f t="shared" si="64"/>
        <v>6.0443786787922642</v>
      </c>
      <c r="BB64" s="78">
        <f t="shared" si="64"/>
        <v>6.2177971401789236</v>
      </c>
      <c r="BC64" s="78">
        <f t="shared" si="28"/>
        <v>6.3121411459018546</v>
      </c>
      <c r="BD64" s="592">
        <v>0</v>
      </c>
      <c r="BE64" s="592">
        <v>4.66</v>
      </c>
      <c r="BF64" s="592">
        <v>13</v>
      </c>
      <c r="BG64" s="592">
        <v>10.5</v>
      </c>
      <c r="BH64" s="592">
        <v>3.4220000000000002</v>
      </c>
      <c r="BI64" s="592">
        <v>6.4</v>
      </c>
      <c r="BK64" s="8">
        <v>2057.2240000000002</v>
      </c>
      <c r="BL64" s="8">
        <v>953.04100000000005</v>
      </c>
      <c r="BM64" s="8">
        <v>3173.0369999999998</v>
      </c>
      <c r="BN64" s="8">
        <v>179.85499999999999</v>
      </c>
      <c r="BO64" s="8">
        <v>400.98599999999999</v>
      </c>
      <c r="BP64" s="8">
        <v>1158.106</v>
      </c>
      <c r="BQ64" s="8">
        <v>806.02300000000002</v>
      </c>
      <c r="BR64" s="8">
        <v>5677.9409999999998</v>
      </c>
      <c r="BS64" s="407">
        <v>724.17550000000051</v>
      </c>
      <c r="BT64" s="407">
        <v>259.16700000000014</v>
      </c>
      <c r="BU64" s="408">
        <f t="shared" si="29"/>
        <v>179.09789251633441</v>
      </c>
      <c r="BV64" s="701">
        <v>99.028785032668665</v>
      </c>
      <c r="BW64" s="702">
        <v>7110.374021912482</v>
      </c>
      <c r="BX64" s="724">
        <v>7205.5330171808873</v>
      </c>
      <c r="BZ64" s="315">
        <v>1002.6099999999999</v>
      </c>
      <c r="CA64" s="315">
        <v>8</v>
      </c>
      <c r="CB64" s="315">
        <v>77.460000000000008</v>
      </c>
      <c r="CC64" s="315">
        <v>24.3</v>
      </c>
      <c r="CD64" s="315">
        <v>86.09</v>
      </c>
      <c r="CE64" s="315">
        <v>27.21</v>
      </c>
      <c r="CF64" s="315">
        <v>21.7</v>
      </c>
      <c r="CG64" s="315">
        <v>0</v>
      </c>
      <c r="CH64" s="8">
        <v>0.19217400000000001</v>
      </c>
      <c r="CI64" s="8">
        <v>0</v>
      </c>
      <c r="CJ64" s="1">
        <v>133.40300000000002</v>
      </c>
      <c r="CK64" s="1">
        <v>77.82050000000001</v>
      </c>
      <c r="CL64" s="1">
        <v>162.60075000000003</v>
      </c>
      <c r="CM64" s="1">
        <v>12.514624999999999</v>
      </c>
      <c r="CO64" s="78">
        <f t="shared" si="65"/>
        <v>2.6444700442006246</v>
      </c>
      <c r="CP64" s="78">
        <f t="shared" si="65"/>
        <v>2.6678364387195375</v>
      </c>
      <c r="CQ64" s="78">
        <f t="shared" si="65"/>
        <v>2.6996659551767994</v>
      </c>
      <c r="CR64" s="78">
        <f t="shared" si="65"/>
        <v>2.7248831532219624</v>
      </c>
      <c r="CS64" s="78">
        <f t="shared" si="65"/>
        <v>2.7451021056976868</v>
      </c>
      <c r="CT64" s="78">
        <f t="shared" si="65"/>
        <v>2.7538234792908614</v>
      </c>
      <c r="CU64" s="78">
        <f t="shared" si="65"/>
        <v>2.7551954412071233</v>
      </c>
      <c r="CV64" s="78">
        <f t="shared" si="30"/>
        <v>2.761371959951703</v>
      </c>
      <c r="CW64" s="592">
        <v>7.0116709999999998</v>
      </c>
      <c r="CX64" s="592">
        <v>0.22500000000000001</v>
      </c>
      <c r="CY64" s="592">
        <v>2.2050000000000001</v>
      </c>
      <c r="CZ64" s="592">
        <v>4.3940000000000001</v>
      </c>
      <c r="DA64" s="592">
        <v>0</v>
      </c>
      <c r="DB64" s="592">
        <v>0</v>
      </c>
      <c r="DD64" s="8">
        <v>3018.8319999999999</v>
      </c>
      <c r="DE64" s="8">
        <v>2419.3499999999995</v>
      </c>
      <c r="DF64" s="8">
        <v>1333.7720000000006</v>
      </c>
      <c r="DG64" s="8">
        <v>1428.4359999999997</v>
      </c>
      <c r="DH64" s="8">
        <v>1254.0459999999996</v>
      </c>
      <c r="DI64" s="8">
        <v>845.62400000000036</v>
      </c>
      <c r="DJ64" s="8">
        <v>509.2820000000001</v>
      </c>
      <c r="DK64" s="8">
        <v>580.40399999999977</v>
      </c>
      <c r="DL64" s="8">
        <v>374.79050000000001</v>
      </c>
      <c r="DM64" s="8">
        <v>706.68599999999992</v>
      </c>
      <c r="DN64" s="1">
        <v>1767.5450000000001</v>
      </c>
      <c r="DO64" s="1">
        <v>2218.6707500000007</v>
      </c>
      <c r="DP64" s="1">
        <v>649.70099999999991</v>
      </c>
      <c r="DQ64" s="394">
        <v>3370.9736000000012</v>
      </c>
      <c r="DS64" s="8">
        <v>265.05700000000002</v>
      </c>
      <c r="DT64" s="8">
        <v>262.91800000000001</v>
      </c>
      <c r="DU64" s="8">
        <v>375.99294999999995</v>
      </c>
      <c r="DV64" s="8">
        <v>389.774</v>
      </c>
      <c r="DW64" s="8">
        <v>284.3537</v>
      </c>
      <c r="DX64" s="8">
        <v>500.64400000000001</v>
      </c>
      <c r="DY64" s="8">
        <v>196.12700000000001</v>
      </c>
      <c r="DZ64" s="8">
        <v>685.12619999999993</v>
      </c>
      <c r="EA64" s="8">
        <v>1047.825</v>
      </c>
      <c r="EB64" s="8">
        <v>1325.4873659999998</v>
      </c>
      <c r="EC64" s="281">
        <v>922.6256999999996</v>
      </c>
      <c r="ED64" s="395">
        <v>929.30200000000013</v>
      </c>
      <c r="EE64" s="393">
        <v>896.87524999999982</v>
      </c>
      <c r="EF64" s="393">
        <v>789.93515000000002</v>
      </c>
      <c r="EH64" s="65"/>
      <c r="EI64" s="249"/>
    </row>
    <row r="65" spans="1:150" s="26" customFormat="1">
      <c r="A65" s="27" t="s">
        <v>42</v>
      </c>
      <c r="C65" s="8">
        <f t="shared" si="42"/>
        <v>241.10900000000001</v>
      </c>
      <c r="D65" s="8">
        <f t="shared" si="43"/>
        <v>16.740000000000002</v>
      </c>
      <c r="E65" s="8">
        <f t="shared" si="44"/>
        <v>177.41925000000003</v>
      </c>
      <c r="F65" s="8">
        <f t="shared" si="45"/>
        <v>351.6635</v>
      </c>
      <c r="G65" s="8">
        <f t="shared" si="46"/>
        <v>168.47149999999999</v>
      </c>
      <c r="H65" s="8">
        <f t="shared" si="47"/>
        <v>127.71959999999999</v>
      </c>
      <c r="I65" s="8">
        <f t="shared" si="48"/>
        <v>67.528499999999994</v>
      </c>
      <c r="J65" s="8">
        <f t="shared" si="49"/>
        <v>193.57675</v>
      </c>
      <c r="K65" s="8">
        <f t="shared" si="50"/>
        <v>109.33796</v>
      </c>
      <c r="L65" s="8">
        <f t="shared" si="51"/>
        <v>12.118024999999999</v>
      </c>
      <c r="M65" s="8">
        <f t="shared" si="52"/>
        <v>3.9373</v>
      </c>
      <c r="N65" s="8">
        <f t="shared" si="25"/>
        <v>2.1359999999999997</v>
      </c>
      <c r="O65" s="8">
        <f t="shared" si="53"/>
        <v>5.060249999999999</v>
      </c>
      <c r="P65" s="8">
        <f t="shared" si="27"/>
        <v>33.360302551729859</v>
      </c>
      <c r="R65" s="78">
        <f t="shared" si="63"/>
        <v>0</v>
      </c>
      <c r="S65" s="78">
        <f t="shared" si="63"/>
        <v>0</v>
      </c>
      <c r="T65" s="78">
        <f t="shared" si="63"/>
        <v>0</v>
      </c>
      <c r="U65" s="78">
        <f t="shared" si="63"/>
        <v>0</v>
      </c>
      <c r="V65" s="78">
        <f t="shared" si="63"/>
        <v>0</v>
      </c>
      <c r="W65" s="78">
        <f t="shared" si="63"/>
        <v>0</v>
      </c>
      <c r="X65" s="78">
        <f t="shared" si="63"/>
        <v>0</v>
      </c>
      <c r="Y65" s="78">
        <f t="shared" si="59"/>
        <v>0</v>
      </c>
      <c r="Z65" s="592">
        <v>0</v>
      </c>
      <c r="AA65" s="592">
        <v>0</v>
      </c>
      <c r="AB65" s="592">
        <v>0</v>
      </c>
      <c r="AC65" s="592">
        <v>0</v>
      </c>
      <c r="AD65" s="592">
        <v>0</v>
      </c>
      <c r="AE65" s="592">
        <v>0</v>
      </c>
      <c r="AG65" s="78">
        <f t="shared" ref="AG65:AJ67" si="67">AH65/AH$8*AG$8</f>
        <v>0</v>
      </c>
      <c r="AH65" s="78">
        <f t="shared" si="67"/>
        <v>0</v>
      </c>
      <c r="AI65" s="78">
        <f t="shared" si="67"/>
        <v>0</v>
      </c>
      <c r="AJ65" s="78">
        <f t="shared" si="67"/>
        <v>0</v>
      </c>
      <c r="AK65" s="8">
        <v>0</v>
      </c>
      <c r="AL65" s="315">
        <v>0</v>
      </c>
      <c r="AM65" s="8">
        <v>0</v>
      </c>
      <c r="AN65" s="315">
        <v>0</v>
      </c>
      <c r="AO65" s="282">
        <v>0</v>
      </c>
      <c r="AP65" s="8">
        <v>0</v>
      </c>
      <c r="AQ65" s="1">
        <v>0</v>
      </c>
      <c r="AR65" s="282">
        <v>0</v>
      </c>
      <c r="AS65" s="282">
        <v>0</v>
      </c>
      <c r="AT65" s="282">
        <v>7.1999999999999995E-2</v>
      </c>
      <c r="AV65" s="78">
        <f t="shared" si="64"/>
        <v>0</v>
      </c>
      <c r="AW65" s="78">
        <f t="shared" si="64"/>
        <v>0</v>
      </c>
      <c r="AX65" s="78">
        <f t="shared" si="64"/>
        <v>0</v>
      </c>
      <c r="AY65" s="78">
        <f t="shared" si="64"/>
        <v>0</v>
      </c>
      <c r="AZ65" s="78">
        <f t="shared" si="64"/>
        <v>0</v>
      </c>
      <c r="BA65" s="78">
        <f t="shared" si="64"/>
        <v>0</v>
      </c>
      <c r="BB65" s="78">
        <f t="shared" si="64"/>
        <v>0</v>
      </c>
      <c r="BC65" s="78">
        <f t="shared" si="28"/>
        <v>0</v>
      </c>
      <c r="BD65" s="592">
        <v>0</v>
      </c>
      <c r="BE65" s="592">
        <v>0</v>
      </c>
      <c r="BF65" s="592">
        <v>0</v>
      </c>
      <c r="BG65" s="592">
        <v>0</v>
      </c>
      <c r="BH65" s="592">
        <v>0</v>
      </c>
      <c r="BI65" s="721">
        <v>0</v>
      </c>
      <c r="BK65" s="8">
        <v>113.87</v>
      </c>
      <c r="BL65" s="8">
        <v>0.26200000000000001</v>
      </c>
      <c r="BM65" s="8">
        <v>135.56</v>
      </c>
      <c r="BN65" s="8">
        <v>167.953</v>
      </c>
      <c r="BO65" s="8">
        <v>125.511</v>
      </c>
      <c r="BP65" s="8">
        <v>10.52</v>
      </c>
      <c r="BQ65" s="8">
        <v>0</v>
      </c>
      <c r="BR65" s="8">
        <v>13.07</v>
      </c>
      <c r="BS65" s="407">
        <v>0</v>
      </c>
      <c r="BT65" s="407">
        <v>0.21</v>
      </c>
      <c r="BU65" s="408">
        <f t="shared" si="29"/>
        <v>0.86799999999999988</v>
      </c>
      <c r="BV65" s="701">
        <v>1.5259999999999998</v>
      </c>
      <c r="BW65" s="702">
        <v>0</v>
      </c>
      <c r="BX65" s="724">
        <v>0.37107555172985757</v>
      </c>
      <c r="BZ65" s="315">
        <v>20.369999999999997</v>
      </c>
      <c r="CA65" s="315">
        <v>4.07</v>
      </c>
      <c r="CB65" s="315">
        <v>23.61</v>
      </c>
      <c r="CC65" s="315">
        <v>0</v>
      </c>
      <c r="CD65" s="315">
        <v>7.0000000000000007E-2</v>
      </c>
      <c r="CE65" s="315">
        <v>24.52</v>
      </c>
      <c r="CF65" s="315">
        <v>18.599999999999998</v>
      </c>
      <c r="CG65" s="315">
        <v>136</v>
      </c>
      <c r="CH65" s="8">
        <v>108.80795999999999</v>
      </c>
      <c r="CI65" s="8">
        <v>3.0249999999999999E-3</v>
      </c>
      <c r="CJ65" s="1">
        <v>2.4300000000000002E-2</v>
      </c>
      <c r="CK65" s="1">
        <v>2.1000000000000001E-2</v>
      </c>
      <c r="CL65" s="1">
        <v>4.2500000000000003E-3</v>
      </c>
      <c r="CM65" s="1">
        <v>6.7226999999999038E-2</v>
      </c>
      <c r="CO65" s="78">
        <f t="shared" si="65"/>
        <v>0</v>
      </c>
      <c r="CP65" s="78">
        <f t="shared" si="65"/>
        <v>0</v>
      </c>
      <c r="CQ65" s="78">
        <f t="shared" si="65"/>
        <v>0</v>
      </c>
      <c r="CR65" s="78">
        <f t="shared" si="65"/>
        <v>0</v>
      </c>
      <c r="CS65" s="78">
        <f t="shared" si="65"/>
        <v>0</v>
      </c>
      <c r="CT65" s="78">
        <f t="shared" si="65"/>
        <v>0</v>
      </c>
      <c r="CU65" s="78">
        <f t="shared" si="65"/>
        <v>0</v>
      </c>
      <c r="CV65" s="78">
        <f t="shared" si="30"/>
        <v>0</v>
      </c>
      <c r="CW65" s="592">
        <v>0</v>
      </c>
      <c r="CX65" s="592">
        <v>0</v>
      </c>
      <c r="CY65" s="592">
        <v>0</v>
      </c>
      <c r="CZ65" s="592">
        <v>0</v>
      </c>
      <c r="DA65" s="592">
        <v>0</v>
      </c>
      <c r="DB65" s="592">
        <v>0</v>
      </c>
      <c r="DD65" s="8">
        <v>10.423999999999999</v>
      </c>
      <c r="DE65" s="8">
        <v>3.6029999999999998</v>
      </c>
      <c r="DF65" s="8">
        <v>11.958999999999998</v>
      </c>
      <c r="DG65" s="8">
        <v>44.256</v>
      </c>
      <c r="DH65" s="8">
        <v>42.771000000000008</v>
      </c>
      <c r="DI65" s="8">
        <v>92.199999999999989</v>
      </c>
      <c r="DJ65" s="8">
        <v>41.342999999999996</v>
      </c>
      <c r="DK65" s="8">
        <v>0.13</v>
      </c>
      <c r="DL65" s="8">
        <v>0</v>
      </c>
      <c r="DM65" s="8">
        <v>5.0199999999999996</v>
      </c>
      <c r="DN65" s="1">
        <v>0.24000000000000002</v>
      </c>
      <c r="DO65" s="1">
        <v>0.58899999999999997</v>
      </c>
      <c r="DP65" s="1">
        <v>4.2059999999999995</v>
      </c>
      <c r="DQ65" s="394">
        <v>8.6050000000000004</v>
      </c>
      <c r="DS65" s="8">
        <v>96.444999999999993</v>
      </c>
      <c r="DT65" s="8">
        <v>8.8049999999999997</v>
      </c>
      <c r="DU65" s="8">
        <v>6.2902500000000003</v>
      </c>
      <c r="DV65" s="8">
        <v>139.4545</v>
      </c>
      <c r="DW65" s="8">
        <v>0.1195</v>
      </c>
      <c r="DX65" s="8">
        <v>0.47960000000000003</v>
      </c>
      <c r="DY65" s="8">
        <v>7.5854999999999997</v>
      </c>
      <c r="DZ65" s="8">
        <v>44.376750000000001</v>
      </c>
      <c r="EA65" s="8">
        <v>0.53</v>
      </c>
      <c r="EB65" s="8">
        <v>6.8849999999999998</v>
      </c>
      <c r="EC65" s="281">
        <v>2.8050000000000002</v>
      </c>
      <c r="ED65" s="395">
        <v>0</v>
      </c>
      <c r="EE65" s="393">
        <v>0.85</v>
      </c>
      <c r="EF65" s="393">
        <v>24.245000000000001</v>
      </c>
      <c r="EH65" s="65"/>
      <c r="EI65" s="249"/>
    </row>
    <row r="66" spans="1:150" s="26" customFormat="1">
      <c r="A66" s="27" t="s">
        <v>651</v>
      </c>
      <c r="C66" s="8">
        <f t="shared" si="42"/>
        <v>0</v>
      </c>
      <c r="D66" s="8">
        <f t="shared" si="43"/>
        <v>0</v>
      </c>
      <c r="E66" s="8">
        <f t="shared" si="44"/>
        <v>0</v>
      </c>
      <c r="F66" s="8">
        <f t="shared" si="45"/>
        <v>0</v>
      </c>
      <c r="G66" s="8">
        <f t="shared" si="46"/>
        <v>0</v>
      </c>
      <c r="H66" s="8">
        <f t="shared" si="47"/>
        <v>0</v>
      </c>
      <c r="I66" s="8">
        <f t="shared" si="48"/>
        <v>0</v>
      </c>
      <c r="J66" s="8">
        <f t="shared" si="49"/>
        <v>0</v>
      </c>
      <c r="K66" s="8">
        <f t="shared" si="50"/>
        <v>0</v>
      </c>
      <c r="L66" s="8">
        <f t="shared" ref="L66:L83" si="68">SUM(AA66,AP66,BE66,BT66,CI66,CX66,DM66,EB66)</f>
        <v>0</v>
      </c>
      <c r="M66" s="8">
        <f t="shared" si="52"/>
        <v>0</v>
      </c>
      <c r="N66" s="8">
        <f t="shared" si="25"/>
        <v>0</v>
      </c>
      <c r="O66" s="8">
        <f t="shared" si="53"/>
        <v>210</v>
      </c>
      <c r="P66" s="8">
        <f t="shared" si="27"/>
        <v>9838.6005000000005</v>
      </c>
      <c r="R66" s="54">
        <v>0</v>
      </c>
      <c r="S66" s="54">
        <v>0</v>
      </c>
      <c r="T66" s="54">
        <v>0</v>
      </c>
      <c r="U66" s="54">
        <v>0</v>
      </c>
      <c r="V66" s="54">
        <v>0</v>
      </c>
      <c r="W66" s="54">
        <v>0</v>
      </c>
      <c r="X66" s="54">
        <v>0</v>
      </c>
      <c r="Y66" s="54">
        <v>0</v>
      </c>
      <c r="Z66" s="592">
        <v>0</v>
      </c>
      <c r="AA66" s="592">
        <v>0</v>
      </c>
      <c r="AB66" s="592">
        <v>0</v>
      </c>
      <c r="AC66" s="592">
        <v>0</v>
      </c>
      <c r="AD66" s="592">
        <v>0</v>
      </c>
      <c r="AE66" s="592">
        <v>0</v>
      </c>
      <c r="AG66" s="54">
        <v>0</v>
      </c>
      <c r="AH66" s="54">
        <v>0</v>
      </c>
      <c r="AI66" s="54">
        <v>0</v>
      </c>
      <c r="AJ66" s="54">
        <v>0</v>
      </c>
      <c r="AK66" s="54">
        <v>0</v>
      </c>
      <c r="AL66" s="54">
        <v>0</v>
      </c>
      <c r="AM66" s="54">
        <v>0</v>
      </c>
      <c r="AN66" s="54">
        <v>0</v>
      </c>
      <c r="AO66" s="54">
        <v>0</v>
      </c>
      <c r="AP66" s="54">
        <v>0</v>
      </c>
      <c r="AQ66" s="54">
        <v>0</v>
      </c>
      <c r="AR66" s="54">
        <v>0</v>
      </c>
      <c r="AS66" s="282">
        <v>0</v>
      </c>
      <c r="AT66" s="282">
        <v>1889.6019999999999</v>
      </c>
      <c r="AV66" s="54">
        <v>0</v>
      </c>
      <c r="AW66" s="54">
        <v>0</v>
      </c>
      <c r="AX66" s="54">
        <v>0</v>
      </c>
      <c r="AY66" s="54">
        <v>0</v>
      </c>
      <c r="AZ66" s="54">
        <v>0</v>
      </c>
      <c r="BA66" s="54">
        <v>0</v>
      </c>
      <c r="BB66" s="54">
        <v>0</v>
      </c>
      <c r="BC66" s="54">
        <v>0</v>
      </c>
      <c r="BD66" s="592">
        <v>0</v>
      </c>
      <c r="BE66" s="592">
        <v>0</v>
      </c>
      <c r="BF66" s="592">
        <v>0</v>
      </c>
      <c r="BG66" s="592">
        <v>0</v>
      </c>
      <c r="BH66" s="592">
        <v>0</v>
      </c>
      <c r="BI66" s="721">
        <v>0</v>
      </c>
      <c r="BK66" s="54">
        <v>0</v>
      </c>
      <c r="BL66" s="54">
        <v>0</v>
      </c>
      <c r="BM66" s="54">
        <v>0</v>
      </c>
      <c r="BN66" s="54">
        <v>0</v>
      </c>
      <c r="BO66" s="54">
        <v>0</v>
      </c>
      <c r="BP66" s="54">
        <v>0</v>
      </c>
      <c r="BQ66" s="54">
        <v>0</v>
      </c>
      <c r="BR66" s="54">
        <v>0</v>
      </c>
      <c r="BS66" s="54">
        <v>0</v>
      </c>
      <c r="BT66" s="54">
        <v>0</v>
      </c>
      <c r="BU66" s="54">
        <v>0</v>
      </c>
      <c r="BV66" s="702">
        <v>0</v>
      </c>
      <c r="BW66" s="702">
        <v>110</v>
      </c>
      <c r="BX66" s="724">
        <v>7119.027</v>
      </c>
      <c r="BZ66" s="54">
        <v>0</v>
      </c>
      <c r="CA66" s="54">
        <v>0</v>
      </c>
      <c r="CB66" s="54">
        <v>0</v>
      </c>
      <c r="CC66" s="54">
        <v>0</v>
      </c>
      <c r="CD66" s="54">
        <v>0</v>
      </c>
      <c r="CE66" s="54">
        <v>0</v>
      </c>
      <c r="CF66" s="54">
        <v>0</v>
      </c>
      <c r="CG66" s="54">
        <v>0</v>
      </c>
      <c r="CH66" s="54">
        <v>0</v>
      </c>
      <c r="CI66" s="54">
        <v>0</v>
      </c>
      <c r="CJ66" s="54">
        <v>0</v>
      </c>
      <c r="CK66" s="54">
        <v>0</v>
      </c>
      <c r="CL66" s="1">
        <v>11</v>
      </c>
      <c r="CM66" s="1">
        <v>63.449999999999996</v>
      </c>
      <c r="CO66" s="54">
        <v>0</v>
      </c>
      <c r="CP66" s="54">
        <v>0</v>
      </c>
      <c r="CQ66" s="54">
        <v>0</v>
      </c>
      <c r="CR66" s="54">
        <v>0</v>
      </c>
      <c r="CS66" s="54">
        <v>0</v>
      </c>
      <c r="CT66" s="54">
        <v>0</v>
      </c>
      <c r="CU66" s="54">
        <v>0</v>
      </c>
      <c r="CV66" s="54">
        <v>0</v>
      </c>
      <c r="CW66" s="592">
        <v>0</v>
      </c>
      <c r="CX66" s="592">
        <v>0</v>
      </c>
      <c r="CY66" s="592">
        <v>0</v>
      </c>
      <c r="CZ66" s="592">
        <v>0</v>
      </c>
      <c r="DA66" s="592">
        <v>0</v>
      </c>
      <c r="DB66" s="592">
        <v>0</v>
      </c>
      <c r="DD66" s="54">
        <v>0</v>
      </c>
      <c r="DE66" s="54">
        <v>0</v>
      </c>
      <c r="DF66" s="54">
        <v>0</v>
      </c>
      <c r="DG66" s="54">
        <v>0</v>
      </c>
      <c r="DH66" s="54">
        <v>0</v>
      </c>
      <c r="DI66" s="54">
        <v>0</v>
      </c>
      <c r="DJ66" s="54">
        <v>0</v>
      </c>
      <c r="DK66" s="54">
        <v>0</v>
      </c>
      <c r="DL66" s="54">
        <v>0</v>
      </c>
      <c r="DM66" s="54">
        <v>0</v>
      </c>
      <c r="DN66" s="54">
        <v>0</v>
      </c>
      <c r="DO66" s="54">
        <v>0</v>
      </c>
      <c r="DP66" s="1">
        <v>89</v>
      </c>
      <c r="DQ66" s="394">
        <v>682.94400000000007</v>
      </c>
      <c r="DS66" s="54">
        <v>0</v>
      </c>
      <c r="DT66" s="54">
        <v>0</v>
      </c>
      <c r="DU66" s="54">
        <v>0</v>
      </c>
      <c r="DV66" s="54">
        <v>0</v>
      </c>
      <c r="DW66" s="54">
        <v>0</v>
      </c>
      <c r="DX66" s="54">
        <v>0</v>
      </c>
      <c r="DY66" s="54">
        <v>0</v>
      </c>
      <c r="DZ66" s="54">
        <v>0</v>
      </c>
      <c r="EA66" s="54">
        <v>0</v>
      </c>
      <c r="EB66" s="54">
        <v>0</v>
      </c>
      <c r="EC66" s="54">
        <v>0</v>
      </c>
      <c r="ED66" s="54">
        <v>0</v>
      </c>
      <c r="EE66" s="393">
        <v>0</v>
      </c>
      <c r="EF66" s="393">
        <v>83.577500000000015</v>
      </c>
      <c r="EH66" s="65"/>
      <c r="EI66" s="249"/>
    </row>
    <row r="67" spans="1:150" s="26" customFormat="1">
      <c r="A67" s="27" t="s">
        <v>43</v>
      </c>
      <c r="C67" s="8">
        <f t="shared" si="42"/>
        <v>33956.901732386912</v>
      </c>
      <c r="D67" s="8">
        <f t="shared" si="43"/>
        <v>34664.961173522875</v>
      </c>
      <c r="E67" s="8">
        <f t="shared" si="44"/>
        <v>34589.800869797335</v>
      </c>
      <c r="F67" s="8">
        <f t="shared" si="45"/>
        <v>39320.616352364181</v>
      </c>
      <c r="G67" s="8">
        <f t="shared" si="46"/>
        <v>37102.539984625364</v>
      </c>
      <c r="H67" s="8">
        <f t="shared" si="47"/>
        <v>40420.035099972716</v>
      </c>
      <c r="I67" s="8">
        <f t="shared" si="48"/>
        <v>44577.527924618844</v>
      </c>
      <c r="J67" s="8">
        <f t="shared" si="49"/>
        <v>46026.090409993347</v>
      </c>
      <c r="K67" s="8">
        <f t="shared" si="50"/>
        <v>27423.270156232033</v>
      </c>
      <c r="L67" s="8">
        <f t="shared" si="68"/>
        <v>52593.685720000038</v>
      </c>
      <c r="M67" s="8">
        <f t="shared" si="52"/>
        <v>31085.09116157264</v>
      </c>
      <c r="N67" s="8">
        <f t="shared" si="25"/>
        <v>30421.564481545876</v>
      </c>
      <c r="O67" s="8">
        <f t="shared" si="53"/>
        <v>42959.81629905977</v>
      </c>
      <c r="P67" s="8">
        <f t="shared" si="27"/>
        <v>28973.773838367539</v>
      </c>
      <c r="R67" s="78">
        <f t="shared" si="63"/>
        <v>7.6876839765158369</v>
      </c>
      <c r="S67" s="78">
        <f t="shared" si="63"/>
        <v>7.8193406849123166</v>
      </c>
      <c r="T67" s="78">
        <f t="shared" si="63"/>
        <v>7.9766698834706649</v>
      </c>
      <c r="U67" s="78">
        <f t="shared" si="63"/>
        <v>8.1302050060493372</v>
      </c>
      <c r="V67" s="78">
        <f t="shared" si="63"/>
        <v>8.2886474364819609</v>
      </c>
      <c r="W67" s="78">
        <f t="shared" si="63"/>
        <v>8.4469081147718441</v>
      </c>
      <c r="X67" s="78">
        <f t="shared" si="63"/>
        <v>8.6329541518829362</v>
      </c>
      <c r="Y67" s="78">
        <f t="shared" si="59"/>
        <v>8.7857622658906536</v>
      </c>
      <c r="Z67" s="592">
        <v>4.1399999999999997</v>
      </c>
      <c r="AA67" s="592">
        <v>16.542000000000002</v>
      </c>
      <c r="AB67" s="592">
        <v>10.648</v>
      </c>
      <c r="AC67" s="592">
        <v>8.6859999999999999</v>
      </c>
      <c r="AD67" s="592">
        <v>4.5819999999999999</v>
      </c>
      <c r="AE67" s="592">
        <v>11.746</v>
      </c>
      <c r="AG67" s="78">
        <f t="shared" si="67"/>
        <v>7468.8434100684844</v>
      </c>
      <c r="AH67" s="78">
        <f t="shared" si="67"/>
        <v>7576.3631635692</v>
      </c>
      <c r="AI67" s="78">
        <f t="shared" si="67"/>
        <v>7706.1568470882121</v>
      </c>
      <c r="AJ67" s="78">
        <f t="shared" si="67"/>
        <v>7815.9108173068398</v>
      </c>
      <c r="AK67" s="8">
        <v>7902.1835000000037</v>
      </c>
      <c r="AL67" s="315">
        <v>11926.744319999998</v>
      </c>
      <c r="AM67" s="8">
        <v>13762.068642999999</v>
      </c>
      <c r="AN67" s="315">
        <v>13057.391089000015</v>
      </c>
      <c r="AO67" s="282">
        <v>9313.9383600000001</v>
      </c>
      <c r="AP67" s="8">
        <v>13713.524619999993</v>
      </c>
      <c r="AQ67" s="1">
        <v>14055.897850931893</v>
      </c>
      <c r="AR67" s="282">
        <v>14434.886890000033</v>
      </c>
      <c r="AS67" s="282">
        <v>17029.779134999953</v>
      </c>
      <c r="AT67" s="282">
        <v>14145.004271999924</v>
      </c>
      <c r="AV67" s="78">
        <f t="shared" si="64"/>
        <v>153.23253378749504</v>
      </c>
      <c r="AW67" s="78">
        <f t="shared" si="64"/>
        <v>157.29082260722274</v>
      </c>
      <c r="AX67" s="78">
        <f t="shared" si="64"/>
        <v>161.58074394323117</v>
      </c>
      <c r="AY67" s="78">
        <f t="shared" si="64"/>
        <v>165.39796067704907</v>
      </c>
      <c r="AZ67" s="78">
        <f t="shared" si="64"/>
        <v>167.2248804606302</v>
      </c>
      <c r="BA67" s="78">
        <f t="shared" si="64"/>
        <v>169.00968524125116</v>
      </c>
      <c r="BB67" s="78">
        <f t="shared" si="64"/>
        <v>173.85871954759244</v>
      </c>
      <c r="BC67" s="78">
        <f t="shared" si="28"/>
        <v>176.49671619852654</v>
      </c>
      <c r="BD67" s="592">
        <v>10.56</v>
      </c>
      <c r="BE67" s="592">
        <v>7.0140000000000002</v>
      </c>
      <c r="BF67" s="592">
        <v>211</v>
      </c>
      <c r="BG67" s="592">
        <v>34.575000000000003</v>
      </c>
      <c r="BH67" s="592">
        <v>619.93000000000006</v>
      </c>
      <c r="BI67" s="592">
        <v>205</v>
      </c>
      <c r="BK67" s="8">
        <v>7552.174</v>
      </c>
      <c r="BL67" s="8">
        <v>8135.1180000000004</v>
      </c>
      <c r="BM67" s="8">
        <v>8053.7129999999997</v>
      </c>
      <c r="BN67" s="8">
        <v>9210.2659999999996</v>
      </c>
      <c r="BO67" s="8">
        <v>6302.32</v>
      </c>
      <c r="BP67" s="8">
        <v>4497.4219999999996</v>
      </c>
      <c r="BQ67" s="8">
        <v>0</v>
      </c>
      <c r="BR67" s="8">
        <v>3474.3319999999994</v>
      </c>
      <c r="BS67" s="407">
        <v>4252.3205000000007</v>
      </c>
      <c r="BT67" s="407">
        <v>3929.7609999999968</v>
      </c>
      <c r="BU67" s="408">
        <f t="shared" si="29"/>
        <v>3641.3062927729134</v>
      </c>
      <c r="BV67" s="701">
        <v>3352.8515855458299</v>
      </c>
      <c r="BW67" s="702">
        <v>2857.005933059841</v>
      </c>
      <c r="BX67" s="724">
        <v>2784.9502933676122</v>
      </c>
      <c r="BZ67" s="315">
        <v>377.964</v>
      </c>
      <c r="CA67" s="315">
        <v>309.61799999999999</v>
      </c>
      <c r="CB67" s="315">
        <v>244.98</v>
      </c>
      <c r="CC67" s="315">
        <v>291.94199999999995</v>
      </c>
      <c r="CD67" s="315">
        <v>208.69199999999998</v>
      </c>
      <c r="CE67" s="315">
        <v>200.214</v>
      </c>
      <c r="CF67" s="315">
        <v>198.73799999999997</v>
      </c>
      <c r="CG67" s="315">
        <v>712.90836000000002</v>
      </c>
      <c r="CH67" s="8">
        <v>85.092266232031193</v>
      </c>
      <c r="CI67" s="8">
        <v>999.95440000000008</v>
      </c>
      <c r="CJ67" s="8">
        <v>997.29443100000037</v>
      </c>
      <c r="CK67" s="1">
        <v>1356.1756210000001</v>
      </c>
      <c r="CL67" s="1">
        <v>11870.965169999983</v>
      </c>
      <c r="CM67" s="1">
        <v>1021.3274130000001</v>
      </c>
      <c r="CO67" s="78">
        <f t="shared" si="65"/>
        <v>146.22340455441619</v>
      </c>
      <c r="CP67" s="78">
        <f t="shared" si="65"/>
        <v>147.51542666153367</v>
      </c>
      <c r="CQ67" s="78">
        <f t="shared" si="65"/>
        <v>149.2754088825115</v>
      </c>
      <c r="CR67" s="78">
        <f t="shared" si="65"/>
        <v>150.66976937435112</v>
      </c>
      <c r="CS67" s="78">
        <f t="shared" si="65"/>
        <v>151.78775672837995</v>
      </c>
      <c r="CT67" s="78">
        <f t="shared" si="65"/>
        <v>152.26999661685275</v>
      </c>
      <c r="CU67" s="78">
        <f t="shared" si="65"/>
        <v>152.34585791948115</v>
      </c>
      <c r="CV67" s="78">
        <f t="shared" si="30"/>
        <v>152.68738252896094</v>
      </c>
      <c r="CW67" s="592">
        <v>102.604</v>
      </c>
      <c r="CX67" s="592">
        <v>73.156000000000006</v>
      </c>
      <c r="CY67" s="592">
        <v>0.4</v>
      </c>
      <c r="CZ67" s="592">
        <v>26.27</v>
      </c>
      <c r="DA67" s="592">
        <v>562.6</v>
      </c>
      <c r="DB67" s="592">
        <v>575</v>
      </c>
      <c r="DD67" s="8">
        <v>18190.421000000002</v>
      </c>
      <c r="DE67" s="8">
        <v>18186.022000000004</v>
      </c>
      <c r="DF67" s="8">
        <v>17467.644999999906</v>
      </c>
      <c r="DG67" s="8">
        <v>18964.952999999899</v>
      </c>
      <c r="DH67" s="8">
        <v>20572.223999999871</v>
      </c>
      <c r="DI67" s="8">
        <v>21105.320999999836</v>
      </c>
      <c r="DJ67" s="8">
        <v>27610.895999999888</v>
      </c>
      <c r="DK67" s="8">
        <v>24882.276999999951</v>
      </c>
      <c r="DL67" s="8">
        <v>11117.464640000006</v>
      </c>
      <c r="DM67" s="8">
        <v>31830.610000000055</v>
      </c>
      <c r="DN67" s="1">
        <v>10557.512386867837</v>
      </c>
      <c r="DO67" s="1">
        <v>10403.779000000019</v>
      </c>
      <c r="DP67" s="1">
        <v>9283.2682509999941</v>
      </c>
      <c r="DQ67" s="394">
        <v>9449.7248400000026</v>
      </c>
      <c r="DS67" s="8">
        <v>60.355699999999999</v>
      </c>
      <c r="DT67" s="8">
        <v>145.21441999999999</v>
      </c>
      <c r="DU67" s="8">
        <v>798.47319999999991</v>
      </c>
      <c r="DV67" s="8">
        <v>2713.3466000000003</v>
      </c>
      <c r="DW67" s="8">
        <v>1789.8191999999999</v>
      </c>
      <c r="DX67" s="8">
        <v>2360.6071900000002</v>
      </c>
      <c r="DY67" s="8">
        <v>2670.9877499999998</v>
      </c>
      <c r="DZ67" s="8">
        <v>3561.2120999999993</v>
      </c>
      <c r="EA67" s="8">
        <v>2537.1503899999998</v>
      </c>
      <c r="EB67" s="8">
        <v>2023.1236999999999</v>
      </c>
      <c r="EC67" s="281">
        <v>1611.0321999999987</v>
      </c>
      <c r="ED67" s="395">
        <v>804.34038499999974</v>
      </c>
      <c r="EE67" s="393">
        <v>731.6858100000004</v>
      </c>
      <c r="EF67" s="393">
        <v>781.02102000000025</v>
      </c>
      <c r="EH67" s="65"/>
      <c r="EI67" s="249"/>
    </row>
    <row r="68" spans="1:150" s="26" customFormat="1">
      <c r="A68" s="27" t="s">
        <v>44</v>
      </c>
      <c r="C68" s="8">
        <f t="shared" si="42"/>
        <v>1787365.5977730257</v>
      </c>
      <c r="D68" s="8">
        <f t="shared" si="43"/>
        <v>2672023.3237425997</v>
      </c>
      <c r="E68" s="8">
        <f t="shared" si="44"/>
        <v>1543707.1933789905</v>
      </c>
      <c r="F68" s="8">
        <f t="shared" si="45"/>
        <v>1381258.4998796931</v>
      </c>
      <c r="G68" s="8">
        <f t="shared" si="46"/>
        <v>1533287.6418324434</v>
      </c>
      <c r="H68" s="8">
        <f t="shared" si="47"/>
        <v>1540951.0364555854</v>
      </c>
      <c r="I68" s="8">
        <f t="shared" si="48"/>
        <v>1448787.846063613</v>
      </c>
      <c r="J68" s="8">
        <f t="shared" si="49"/>
        <v>1738921.5461586704</v>
      </c>
      <c r="K68" s="8">
        <f t="shared" si="50"/>
        <v>1469235.7992916661</v>
      </c>
      <c r="L68" s="8">
        <f t="shared" si="68"/>
        <v>1723790.3265761631</v>
      </c>
      <c r="M68" s="8">
        <f t="shared" si="52"/>
        <v>2101916.3680097284</v>
      </c>
      <c r="N68" s="8">
        <f t="shared" si="25"/>
        <v>2842215.3428155584</v>
      </c>
      <c r="O68" s="8">
        <f t="shared" si="53"/>
        <v>2649760.1102890032</v>
      </c>
      <c r="P68" s="8">
        <f t="shared" si="27"/>
        <v>2582442.450818378</v>
      </c>
      <c r="R68" s="78">
        <f t="shared" si="63"/>
        <v>246.98740374167409</v>
      </c>
      <c r="S68" s="78">
        <f t="shared" si="63"/>
        <v>251.21722753403535</v>
      </c>
      <c r="T68" s="78">
        <f t="shared" si="63"/>
        <v>256.27184871817718</v>
      </c>
      <c r="U68" s="78">
        <f t="shared" si="63"/>
        <v>261.20457506654259</v>
      </c>
      <c r="V68" s="78">
        <f t="shared" si="63"/>
        <v>266.2949618013015</v>
      </c>
      <c r="W68" s="78">
        <f t="shared" si="63"/>
        <v>271.37950926249022</v>
      </c>
      <c r="X68" s="78">
        <f t="shared" si="63"/>
        <v>277.35673567071223</v>
      </c>
      <c r="Y68" s="78">
        <f t="shared" si="59"/>
        <v>282.26610492479711</v>
      </c>
      <c r="Z68" s="592">
        <v>598.91999999999996</v>
      </c>
      <c r="AA68" s="592">
        <v>8.870000000000001</v>
      </c>
      <c r="AB68" s="592">
        <v>22.561999999999998</v>
      </c>
      <c r="AC68" s="592">
        <v>787.47799999999995</v>
      </c>
      <c r="AD68" s="592">
        <v>15</v>
      </c>
      <c r="AE68" s="592">
        <v>22401</v>
      </c>
      <c r="AG68" s="323">
        <f t="shared" ref="AG68:AK68" si="69">AH68/AH8*AG8</f>
        <v>455345.83867459197</v>
      </c>
      <c r="AH68" s="323">
        <f t="shared" si="69"/>
        <v>461900.89273635863</v>
      </c>
      <c r="AI68" s="323">
        <f t="shared" si="69"/>
        <v>469813.90020374733</v>
      </c>
      <c r="AJ68" s="323">
        <f t="shared" si="69"/>
        <v>476505.16562105366</v>
      </c>
      <c r="AK68" s="323">
        <f t="shared" si="69"/>
        <v>481764.8698213945</v>
      </c>
      <c r="AL68" s="323">
        <f>AM68/AM8*AL8</f>
        <v>487279.34964586556</v>
      </c>
      <c r="AM68" s="248">
        <f>SUM(AN68:AQ68)/4</f>
        <v>493738.78736199473</v>
      </c>
      <c r="AN68" s="592">
        <v>555300</v>
      </c>
      <c r="AO68" s="594">
        <v>453629.66700000002</v>
      </c>
      <c r="AP68" s="592">
        <v>613242</v>
      </c>
      <c r="AQ68" s="595">
        <v>352783.4824479791</v>
      </c>
      <c r="AR68" s="596">
        <v>697395.99168000009</v>
      </c>
      <c r="AS68" s="596">
        <v>822851.07200000004</v>
      </c>
      <c r="AT68" s="596">
        <v>839864.1574400001</v>
      </c>
      <c r="AV68" s="78">
        <f t="shared" si="64"/>
        <v>6262.1742136811663</v>
      </c>
      <c r="AW68" s="78">
        <f t="shared" si="64"/>
        <v>6428.0248393310258</v>
      </c>
      <c r="AX68" s="78">
        <f t="shared" si="64"/>
        <v>6603.3416216425958</v>
      </c>
      <c r="AY68" s="78">
        <f t="shared" si="64"/>
        <v>6759.3403224909234</v>
      </c>
      <c r="AZ68" s="78">
        <f t="shared" si="64"/>
        <v>6834.0012947820396</v>
      </c>
      <c r="BA68" s="78">
        <f t="shared" si="64"/>
        <v>6906.941147680116</v>
      </c>
      <c r="BB68" s="78">
        <f t="shared" si="64"/>
        <v>7105.1072736578872</v>
      </c>
      <c r="BC68" s="78">
        <f t="shared" si="28"/>
        <v>7212.9146315011394</v>
      </c>
      <c r="BD68" s="36">
        <v>12064.803589770108</v>
      </c>
      <c r="BE68" s="36">
        <v>6068.8130961605675</v>
      </c>
      <c r="BF68" s="36">
        <v>8646.16960930192</v>
      </c>
      <c r="BG68" s="36">
        <v>8686.4299295539895</v>
      </c>
      <c r="BH68" s="36">
        <v>622.69000000000005</v>
      </c>
      <c r="BI68" s="36">
        <v>2333.8000000000002</v>
      </c>
      <c r="BK68" s="54">
        <f>AVERAGE(BL68:BW68)</f>
        <v>693604.23272666661</v>
      </c>
      <c r="BL68" s="592">
        <v>1508000</v>
      </c>
      <c r="BM68" s="592">
        <v>712729</v>
      </c>
      <c r="BN68" s="592">
        <v>543803</v>
      </c>
      <c r="BO68" s="592">
        <v>428076</v>
      </c>
      <c r="BP68" s="592">
        <v>238564</v>
      </c>
      <c r="BQ68" s="592">
        <v>327585</v>
      </c>
      <c r="BR68" s="592">
        <v>708379</v>
      </c>
      <c r="BS68" s="592">
        <v>418738.913</v>
      </c>
      <c r="BT68" s="592">
        <v>573594</v>
      </c>
      <c r="BU68" s="592">
        <f>1016535+30722</f>
        <v>1047257</v>
      </c>
      <c r="BV68" s="592">
        <v>988781.29171999986</v>
      </c>
      <c r="BW68" s="592">
        <v>827743.58799999999</v>
      </c>
      <c r="BX68" s="725">
        <v>353302.64400000003</v>
      </c>
      <c r="BZ68" s="315">
        <v>29853.73</v>
      </c>
      <c r="CA68" s="315">
        <v>188350.77999999997</v>
      </c>
      <c r="CB68" s="315">
        <v>41506.86</v>
      </c>
      <c r="CC68" s="315">
        <v>56466.409999999996</v>
      </c>
      <c r="CD68" s="315">
        <v>202655.41</v>
      </c>
      <c r="CE68" s="315">
        <v>427945.96</v>
      </c>
      <c r="CF68" s="315">
        <v>257835.39</v>
      </c>
      <c r="CG68" s="315">
        <v>145386.85999999999</v>
      </c>
      <c r="CH68" s="8">
        <v>206303.05315389636</v>
      </c>
      <c r="CI68" s="8">
        <v>158835.50384000011</v>
      </c>
      <c r="CJ68" s="1">
        <v>227582.18512999971</v>
      </c>
      <c r="CK68" s="1">
        <v>361540.4748199996</v>
      </c>
      <c r="CL68" s="1">
        <v>223197.90492999999</v>
      </c>
      <c r="CM68" s="1">
        <v>220576.97223238047</v>
      </c>
      <c r="CO68" s="78">
        <f t="shared" si="65"/>
        <v>5379.7733723464644</v>
      </c>
      <c r="CP68" s="78">
        <f t="shared" si="65"/>
        <v>5427.3087593765677</v>
      </c>
      <c r="CQ68" s="78">
        <f t="shared" si="65"/>
        <v>5492.0610848819988</v>
      </c>
      <c r="CR68" s="78">
        <f t="shared" si="65"/>
        <v>5543.3616510828015</v>
      </c>
      <c r="CS68" s="78">
        <f t="shared" si="65"/>
        <v>5584.4940444650538</v>
      </c>
      <c r="CT68" s="78">
        <f t="shared" si="65"/>
        <v>5602.236356778154</v>
      </c>
      <c r="CU68" s="78">
        <f t="shared" si="65"/>
        <v>5605.0274052913201</v>
      </c>
      <c r="CV68" s="78">
        <f>CW68*CV$8/CW$8</f>
        <v>5617.5925962447063</v>
      </c>
      <c r="CW68" s="592">
        <v>5629.3149999999996</v>
      </c>
      <c r="CX68" s="592">
        <v>4578.5600000000004</v>
      </c>
      <c r="CY68" s="592">
        <v>9773.16</v>
      </c>
      <c r="CZ68" s="592">
        <v>12711.32</v>
      </c>
      <c r="DA68" s="592">
        <v>36845</v>
      </c>
      <c r="DB68" s="592">
        <v>84416.89</v>
      </c>
      <c r="DD68" s="8">
        <v>583818.8629999978</v>
      </c>
      <c r="DE68" s="8">
        <v>494999.15499999974</v>
      </c>
      <c r="DF68" s="8">
        <v>299986.0400000005</v>
      </c>
      <c r="DG68" s="8">
        <v>281692.21399999951</v>
      </c>
      <c r="DH68" s="8">
        <v>401109.14100000041</v>
      </c>
      <c r="DI68" s="8">
        <v>369366.92199999903</v>
      </c>
      <c r="DJ68" s="8">
        <v>352854.29899999831</v>
      </c>
      <c r="DK68" s="8">
        <v>313563.66699999943</v>
      </c>
      <c r="DL68" s="8">
        <v>358930.07499999995</v>
      </c>
      <c r="DM68" s="8">
        <v>353234.30200000212</v>
      </c>
      <c r="DN68" s="1">
        <v>450809.25579844799</v>
      </c>
      <c r="DO68" s="1">
        <v>761715.39600000461</v>
      </c>
      <c r="DP68" s="1">
        <v>734401.41812900337</v>
      </c>
      <c r="DQ68" s="394">
        <v>1054877.2499959974</v>
      </c>
      <c r="DS68" s="8">
        <v>12853.998382000002</v>
      </c>
      <c r="DT68" s="8">
        <v>6665.9451800000024</v>
      </c>
      <c r="DU68" s="8">
        <v>7319.7186200000006</v>
      </c>
      <c r="DV68" s="8">
        <v>10227.80371</v>
      </c>
      <c r="DW68" s="8">
        <v>6997.4307099999996</v>
      </c>
      <c r="DX68" s="8">
        <v>5014.2477960000006</v>
      </c>
      <c r="DY68" s="8">
        <v>3786.8782869999995</v>
      </c>
      <c r="DZ68" s="8">
        <v>3179.2458259999994</v>
      </c>
      <c r="EA68" s="8">
        <v>13341.052548</v>
      </c>
      <c r="EB68" s="8">
        <v>14228.27764</v>
      </c>
      <c r="EC68" s="281">
        <v>5042.5530239999971</v>
      </c>
      <c r="ED68" s="395">
        <v>10596.960665999999</v>
      </c>
      <c r="EE68" s="393">
        <v>4083.4372300000005</v>
      </c>
      <c r="EF68" s="393">
        <v>4669.7371500000017</v>
      </c>
      <c r="EH68" s="65"/>
      <c r="EI68" s="249"/>
    </row>
    <row r="69" spans="1:150" s="26" customFormat="1">
      <c r="A69" s="27" t="s">
        <v>45</v>
      </c>
      <c r="C69" s="8">
        <f t="shared" si="42"/>
        <v>4029.6879475660057</v>
      </c>
      <c r="D69" s="8">
        <f t="shared" si="43"/>
        <v>941.8900586385862</v>
      </c>
      <c r="E69" s="8">
        <f t="shared" si="44"/>
        <v>1080.3918009157924</v>
      </c>
      <c r="F69" s="8">
        <f t="shared" si="45"/>
        <v>1311.1894789909618</v>
      </c>
      <c r="G69" s="8">
        <f t="shared" si="46"/>
        <v>1353.3600397462237</v>
      </c>
      <c r="H69" s="8">
        <f t="shared" si="47"/>
        <v>1411.9125775888863</v>
      </c>
      <c r="I69" s="8">
        <f t="shared" si="48"/>
        <v>2374.0726041192852</v>
      </c>
      <c r="J69" s="8">
        <f t="shared" si="49"/>
        <v>2163.1677950531816</v>
      </c>
      <c r="K69" s="8">
        <f t="shared" si="50"/>
        <v>898.20500000000004</v>
      </c>
      <c r="L69" s="8">
        <f t="shared" si="68"/>
        <v>1883.1280000000002</v>
      </c>
      <c r="M69" s="8">
        <f t="shared" si="52"/>
        <v>1904.6109766478585</v>
      </c>
      <c r="N69" s="8">
        <f t="shared" si="25"/>
        <v>1125.2899532957163</v>
      </c>
      <c r="O69" s="8">
        <f t="shared" si="53"/>
        <v>11204.681764160499</v>
      </c>
      <c r="P69" s="8">
        <f t="shared" si="27"/>
        <v>3810.8020000000006</v>
      </c>
      <c r="R69" s="78">
        <f t="shared" si="63"/>
        <v>0</v>
      </c>
      <c r="S69" s="78">
        <f t="shared" si="63"/>
        <v>0</v>
      </c>
      <c r="T69" s="78">
        <f t="shared" si="63"/>
        <v>0</v>
      </c>
      <c r="U69" s="78">
        <f t="shared" si="63"/>
        <v>0</v>
      </c>
      <c r="V69" s="78">
        <f t="shared" si="63"/>
        <v>0</v>
      </c>
      <c r="W69" s="78">
        <f t="shared" si="63"/>
        <v>0</v>
      </c>
      <c r="X69" s="78">
        <f t="shared" si="63"/>
        <v>0</v>
      </c>
      <c r="Y69" s="78">
        <f t="shared" si="59"/>
        <v>0</v>
      </c>
      <c r="Z69" s="592">
        <v>0</v>
      </c>
      <c r="AA69" s="592">
        <v>0</v>
      </c>
      <c r="AB69" s="592">
        <v>0</v>
      </c>
      <c r="AC69" s="592">
        <v>0</v>
      </c>
      <c r="AD69" s="592">
        <v>0</v>
      </c>
      <c r="AE69" s="592">
        <v>0</v>
      </c>
      <c r="AG69" s="78">
        <f t="shared" ref="AG69:AJ71" si="70">AH69/AH$8*AG$8</f>
        <v>144.36404095828195</v>
      </c>
      <c r="AH69" s="78">
        <f t="shared" si="70"/>
        <v>146.44227251917891</v>
      </c>
      <c r="AI69" s="78">
        <f t="shared" si="70"/>
        <v>148.95103319535076</v>
      </c>
      <c r="AJ69" s="78">
        <f t="shared" si="70"/>
        <v>151.07244956225662</v>
      </c>
      <c r="AK69" s="8">
        <v>152.74</v>
      </c>
      <c r="AL69" s="315">
        <v>345.82000000000005</v>
      </c>
      <c r="AM69" s="8">
        <v>1103.4825799999999</v>
      </c>
      <c r="AN69" s="315">
        <v>929.28999999999985</v>
      </c>
      <c r="AO69" s="282">
        <v>20.28</v>
      </c>
      <c r="AP69" s="8">
        <v>2</v>
      </c>
      <c r="AQ69" s="1">
        <v>27.504000000000001</v>
      </c>
      <c r="AR69" s="282">
        <v>191.82</v>
      </c>
      <c r="AS69" s="282">
        <v>8350.3799999999992</v>
      </c>
      <c r="AT69" s="282">
        <v>3479.1990000000005</v>
      </c>
      <c r="AV69" s="78">
        <f t="shared" si="64"/>
        <v>2.7780672691093287</v>
      </c>
      <c r="AW69" s="78">
        <f t="shared" si="64"/>
        <v>2.8516430239442188</v>
      </c>
      <c r="AX69" s="78">
        <f t="shared" si="64"/>
        <v>2.9294182179976325</v>
      </c>
      <c r="AY69" s="78">
        <f t="shared" si="64"/>
        <v>2.9986233965925537</v>
      </c>
      <c r="AZ69" s="78">
        <f t="shared" si="64"/>
        <v>3.0317449924352062</v>
      </c>
      <c r="BA69" s="78">
        <f t="shared" si="64"/>
        <v>3.0641030538744904</v>
      </c>
      <c r="BB69" s="78">
        <f t="shared" si="64"/>
        <v>3.1520148253519276</v>
      </c>
      <c r="BC69" s="78">
        <f t="shared" si="28"/>
        <v>3.1998410406525455</v>
      </c>
      <c r="BD69" s="592">
        <v>0</v>
      </c>
      <c r="BE69" s="592">
        <v>0</v>
      </c>
      <c r="BF69" s="592">
        <v>0</v>
      </c>
      <c r="BG69" s="592">
        <v>0</v>
      </c>
      <c r="BH69" s="592">
        <v>16.009999999999998</v>
      </c>
      <c r="BI69" s="592">
        <v>30.3</v>
      </c>
      <c r="BK69" s="8">
        <v>3671.0374000000002</v>
      </c>
      <c r="BL69" s="8">
        <v>566.24</v>
      </c>
      <c r="BM69" s="8">
        <v>503.18</v>
      </c>
      <c r="BN69" s="8">
        <v>353.02</v>
      </c>
      <c r="BO69" s="8">
        <v>555.78200000000004</v>
      </c>
      <c r="BP69" s="8">
        <v>427.40600000000001</v>
      </c>
      <c r="BQ69" s="8">
        <v>736.98</v>
      </c>
      <c r="BR69" s="8">
        <v>1015.25</v>
      </c>
      <c r="BS69" s="407">
        <v>710.77500000000009</v>
      </c>
      <c r="BT69" s="407">
        <v>1066.7180000000001</v>
      </c>
      <c r="BU69" s="408">
        <f t="shared" si="29"/>
        <v>742.38897664785816</v>
      </c>
      <c r="BV69" s="701">
        <v>418.05995329571624</v>
      </c>
      <c r="BW69" s="702">
        <v>1273.0917641604995</v>
      </c>
      <c r="BX69" s="724">
        <v>87</v>
      </c>
      <c r="BZ69" s="315">
        <v>7.38</v>
      </c>
      <c r="CA69" s="315">
        <v>0</v>
      </c>
      <c r="CB69" s="315">
        <v>0.03</v>
      </c>
      <c r="CC69" s="315">
        <v>0</v>
      </c>
      <c r="CD69" s="315">
        <v>125</v>
      </c>
      <c r="CE69" s="315">
        <v>69.930000000000007</v>
      </c>
      <c r="CF69" s="315">
        <v>0.2</v>
      </c>
      <c r="CG69" s="315">
        <v>1.79</v>
      </c>
      <c r="CH69" s="8">
        <v>0.52</v>
      </c>
      <c r="CI69" s="8">
        <v>9.68</v>
      </c>
      <c r="CJ69" s="1">
        <v>0</v>
      </c>
      <c r="CK69" s="1">
        <v>0</v>
      </c>
      <c r="CL69" s="1">
        <v>0</v>
      </c>
      <c r="CM69" s="1">
        <v>0</v>
      </c>
      <c r="CO69" s="78">
        <f t="shared" si="65"/>
        <v>37.653439338614149</v>
      </c>
      <c r="CP69" s="78">
        <f t="shared" si="65"/>
        <v>37.986143095463085</v>
      </c>
      <c r="CQ69" s="78">
        <f t="shared" si="65"/>
        <v>38.439349502444038</v>
      </c>
      <c r="CR69" s="78">
        <f t="shared" si="65"/>
        <v>38.79840603211268</v>
      </c>
      <c r="CS69" s="78">
        <f t="shared" si="65"/>
        <v>39.086294753788536</v>
      </c>
      <c r="CT69" s="78">
        <f t="shared" si="65"/>
        <v>39.210474535011684</v>
      </c>
      <c r="CU69" s="78">
        <f t="shared" si="65"/>
        <v>39.230009293933286</v>
      </c>
      <c r="CV69" s="78">
        <f t="shared" si="30"/>
        <v>39.317954012529313</v>
      </c>
      <c r="CW69" s="592">
        <v>0</v>
      </c>
      <c r="CX69" s="592">
        <v>197</v>
      </c>
      <c r="CY69" s="592">
        <v>0</v>
      </c>
      <c r="CZ69" s="592">
        <v>0</v>
      </c>
      <c r="DA69" s="592">
        <v>0</v>
      </c>
      <c r="DB69" s="592">
        <v>0</v>
      </c>
      <c r="DD69" s="8">
        <v>129.72</v>
      </c>
      <c r="DE69" s="8">
        <v>79.070000000000007</v>
      </c>
      <c r="DF69" s="8">
        <v>84.331999999999994</v>
      </c>
      <c r="DG69" s="8">
        <v>579.99</v>
      </c>
      <c r="DH69" s="8">
        <v>333.26</v>
      </c>
      <c r="DI69" s="8">
        <v>238.71200000000002</v>
      </c>
      <c r="DJ69" s="8">
        <v>433.14</v>
      </c>
      <c r="DK69" s="8">
        <v>150.22</v>
      </c>
      <c r="DL69" s="8">
        <v>100.14</v>
      </c>
      <c r="DM69" s="8">
        <v>449.03000000000003</v>
      </c>
      <c r="DN69" s="1">
        <v>1096.0180000000003</v>
      </c>
      <c r="DO69" s="1">
        <v>376.2</v>
      </c>
      <c r="DP69" s="1">
        <v>1512.77</v>
      </c>
      <c r="DQ69" s="394">
        <v>97.11999999999999</v>
      </c>
      <c r="DS69" s="8">
        <v>36.754999999999995</v>
      </c>
      <c r="DT69" s="8">
        <v>109.3</v>
      </c>
      <c r="DU69" s="8">
        <v>302.53000000000003</v>
      </c>
      <c r="DV69" s="8">
        <v>185.31</v>
      </c>
      <c r="DW69" s="8">
        <v>144.46</v>
      </c>
      <c r="DX69" s="8">
        <v>287.77000000000004</v>
      </c>
      <c r="DY69" s="8">
        <v>57.887999999999998</v>
      </c>
      <c r="DZ69" s="8">
        <v>24.1</v>
      </c>
      <c r="EA69" s="8">
        <v>66.489999999999995</v>
      </c>
      <c r="EB69" s="8">
        <v>158.69999999999999</v>
      </c>
      <c r="EC69" s="281">
        <v>38.699999999999989</v>
      </c>
      <c r="ED69" s="395">
        <v>139.21</v>
      </c>
      <c r="EE69" s="393">
        <v>52.43</v>
      </c>
      <c r="EF69" s="393">
        <v>117.18300000000001</v>
      </c>
      <c r="EH69" s="65"/>
      <c r="EI69" s="249"/>
    </row>
    <row r="70" spans="1:150" s="26" customFormat="1">
      <c r="A70" s="27" t="s">
        <v>46</v>
      </c>
      <c r="C70" s="8">
        <f t="shared" si="42"/>
        <v>36676.017000000007</v>
      </c>
      <c r="D70" s="8">
        <f t="shared" si="43"/>
        <v>36977.573199999999</v>
      </c>
      <c r="E70" s="8">
        <f t="shared" si="44"/>
        <v>2281.0678000000003</v>
      </c>
      <c r="F70" s="8">
        <f t="shared" si="45"/>
        <v>5763.9915000000001</v>
      </c>
      <c r="G70" s="8">
        <f t="shared" si="46"/>
        <v>5976.6085000000003</v>
      </c>
      <c r="H70" s="8">
        <f t="shared" si="47"/>
        <v>6699.0285000000003</v>
      </c>
      <c r="I70" s="8">
        <f t="shared" si="48"/>
        <v>5719.6016999999993</v>
      </c>
      <c r="J70" s="8">
        <f t="shared" si="49"/>
        <v>7420.6136400000005</v>
      </c>
      <c r="K70" s="8">
        <f t="shared" si="50"/>
        <v>27482.704450000001</v>
      </c>
      <c r="L70" s="8">
        <f t="shared" si="68"/>
        <v>3981.1152250000009</v>
      </c>
      <c r="M70" s="8">
        <f t="shared" si="52"/>
        <v>5693.8458125000006</v>
      </c>
      <c r="N70" s="8">
        <f t="shared" si="25"/>
        <v>7079.6517000000003</v>
      </c>
      <c r="O70" s="8">
        <f t="shared" si="53"/>
        <v>5380.364757227785</v>
      </c>
      <c r="P70" s="8">
        <f t="shared" si="27"/>
        <v>7309.5861999999988</v>
      </c>
      <c r="R70" s="78">
        <f t="shared" si="63"/>
        <v>0</v>
      </c>
      <c r="S70" s="78">
        <f t="shared" si="63"/>
        <v>0</v>
      </c>
      <c r="T70" s="78">
        <f t="shared" si="63"/>
        <v>0</v>
      </c>
      <c r="U70" s="78">
        <f t="shared" si="63"/>
        <v>0</v>
      </c>
      <c r="V70" s="78">
        <f t="shared" si="63"/>
        <v>0</v>
      </c>
      <c r="W70" s="78">
        <f t="shared" si="63"/>
        <v>0</v>
      </c>
      <c r="X70" s="78">
        <f t="shared" si="63"/>
        <v>0</v>
      </c>
      <c r="Y70" s="78">
        <f t="shared" si="59"/>
        <v>0</v>
      </c>
      <c r="Z70" s="592">
        <v>0</v>
      </c>
      <c r="AA70" s="592">
        <v>0</v>
      </c>
      <c r="AB70" s="592">
        <v>0</v>
      </c>
      <c r="AC70" s="592">
        <v>0</v>
      </c>
      <c r="AD70" s="592">
        <v>0</v>
      </c>
      <c r="AE70" s="592">
        <v>0</v>
      </c>
      <c r="AG70" s="78">
        <f t="shared" si="70"/>
        <v>0</v>
      </c>
      <c r="AH70" s="78">
        <f t="shared" si="70"/>
        <v>0</v>
      </c>
      <c r="AI70" s="78">
        <f t="shared" si="70"/>
        <v>0</v>
      </c>
      <c r="AJ70" s="78">
        <f t="shared" si="70"/>
        <v>0</v>
      </c>
      <c r="AK70" s="8">
        <v>0</v>
      </c>
      <c r="AL70" s="315">
        <v>0</v>
      </c>
      <c r="AM70" s="8">
        <v>0</v>
      </c>
      <c r="AN70" s="315">
        <v>0</v>
      </c>
      <c r="AO70" s="282">
        <v>40.18</v>
      </c>
      <c r="AP70" s="8">
        <v>0</v>
      </c>
      <c r="AQ70" s="1">
        <v>84.447499999999991</v>
      </c>
      <c r="AR70" s="282">
        <v>0</v>
      </c>
      <c r="AS70" s="282">
        <v>0</v>
      </c>
      <c r="AT70" s="282">
        <v>0.86750000000000005</v>
      </c>
      <c r="AV70" s="78">
        <f t="shared" si="64"/>
        <v>0</v>
      </c>
      <c r="AW70" s="78">
        <f t="shared" si="64"/>
        <v>0</v>
      </c>
      <c r="AX70" s="78">
        <f t="shared" si="64"/>
        <v>0</v>
      </c>
      <c r="AY70" s="78">
        <f t="shared" si="64"/>
        <v>0</v>
      </c>
      <c r="AZ70" s="78">
        <f t="shared" si="64"/>
        <v>0</v>
      </c>
      <c r="BA70" s="78">
        <f t="shared" si="64"/>
        <v>0</v>
      </c>
      <c r="BB70" s="78">
        <f t="shared" si="64"/>
        <v>0</v>
      </c>
      <c r="BC70" s="78">
        <f t="shared" si="28"/>
        <v>0</v>
      </c>
      <c r="BD70" s="592">
        <v>0</v>
      </c>
      <c r="BE70" s="592">
        <v>0</v>
      </c>
      <c r="BF70" s="592">
        <v>0</v>
      </c>
      <c r="BG70" s="592">
        <v>0</v>
      </c>
      <c r="BH70" s="592">
        <v>0</v>
      </c>
      <c r="BI70" s="592">
        <v>0.5</v>
      </c>
      <c r="BK70" s="8">
        <v>35578.942000000003</v>
      </c>
      <c r="BL70" s="8">
        <v>35507.695999999996</v>
      </c>
      <c r="BM70" s="8">
        <v>1684.8240000000001</v>
      </c>
      <c r="BN70" s="8">
        <v>4696.4529999999995</v>
      </c>
      <c r="BO70" s="8">
        <v>4877.1720000000005</v>
      </c>
      <c r="BP70" s="8">
        <v>5235.8760000000002</v>
      </c>
      <c r="BQ70" s="8">
        <v>4755.5879999999997</v>
      </c>
      <c r="BR70" s="8">
        <v>6394.8283400000009</v>
      </c>
      <c r="BS70" s="407">
        <v>26573.477074999999</v>
      </c>
      <c r="BT70" s="407">
        <v>2950.4402250000003</v>
      </c>
      <c r="BU70" s="408">
        <f t="shared" si="29"/>
        <v>4659.8771125000003</v>
      </c>
      <c r="BV70" s="701">
        <v>6369.3140000000003</v>
      </c>
      <c r="BW70" s="702">
        <v>4595.4792572277847</v>
      </c>
      <c r="BX70" s="724">
        <v>6170.8558999999987</v>
      </c>
      <c r="BZ70" s="315">
        <v>334.29999999999995</v>
      </c>
      <c r="CA70" s="315">
        <v>820.97</v>
      </c>
      <c r="CB70" s="315">
        <v>246.95000000000002</v>
      </c>
      <c r="CC70" s="315">
        <v>213.3</v>
      </c>
      <c r="CD70" s="315">
        <v>427.08</v>
      </c>
      <c r="CE70" s="315">
        <v>487.35</v>
      </c>
      <c r="CF70" s="315">
        <v>567.58000000000004</v>
      </c>
      <c r="CG70" s="315">
        <v>592.59</v>
      </c>
      <c r="CH70" s="8">
        <v>551.36</v>
      </c>
      <c r="CI70" s="8">
        <v>564.1400000000001</v>
      </c>
      <c r="CJ70" s="1">
        <v>591.28</v>
      </c>
      <c r="CK70" s="1">
        <v>499.59069999999997</v>
      </c>
      <c r="CL70" s="1">
        <v>447.72000000000008</v>
      </c>
      <c r="CM70" s="1">
        <v>686.9</v>
      </c>
      <c r="CO70" s="78">
        <f t="shared" si="65"/>
        <v>0</v>
      </c>
      <c r="CP70" s="78">
        <f t="shared" si="65"/>
        <v>0</v>
      </c>
      <c r="CQ70" s="78">
        <f t="shared" si="65"/>
        <v>0</v>
      </c>
      <c r="CR70" s="78">
        <f t="shared" si="65"/>
        <v>0</v>
      </c>
      <c r="CS70" s="78">
        <f t="shared" si="65"/>
        <v>0</v>
      </c>
      <c r="CT70" s="78">
        <f t="shared" si="65"/>
        <v>0</v>
      </c>
      <c r="CU70" s="78">
        <f t="shared" si="65"/>
        <v>0</v>
      </c>
      <c r="CV70" s="78">
        <f t="shared" si="30"/>
        <v>0</v>
      </c>
      <c r="CW70" s="592">
        <v>0</v>
      </c>
      <c r="CX70" s="592">
        <v>0</v>
      </c>
      <c r="CY70" s="592">
        <v>0</v>
      </c>
      <c r="CZ70" s="592">
        <v>0</v>
      </c>
      <c r="DA70" s="592">
        <v>0</v>
      </c>
      <c r="DB70" s="592">
        <v>0</v>
      </c>
      <c r="DD70" s="8">
        <v>757.82999999999981</v>
      </c>
      <c r="DE70" s="8">
        <v>501.12500000000006</v>
      </c>
      <c r="DF70" s="8">
        <v>319.98999999999995</v>
      </c>
      <c r="DG70" s="8">
        <v>816.59600000000023</v>
      </c>
      <c r="DH70" s="8">
        <v>580.32999999999981</v>
      </c>
      <c r="DI70" s="8">
        <v>617.86599999999999</v>
      </c>
      <c r="DJ70" s="8">
        <v>369.67399999999998</v>
      </c>
      <c r="DK70" s="8">
        <v>340.45399999999989</v>
      </c>
      <c r="DL70" s="8">
        <v>193.35999999999996</v>
      </c>
      <c r="DM70" s="319">
        <v>394.29999999999995</v>
      </c>
      <c r="DN70" s="1">
        <v>280.37600000000003</v>
      </c>
      <c r="DO70" s="1">
        <v>151.63</v>
      </c>
      <c r="DP70" s="1">
        <v>334.08550000000002</v>
      </c>
      <c r="DQ70" s="394">
        <v>383.37279999999998</v>
      </c>
      <c r="DS70" s="8">
        <v>4.9450000000000003</v>
      </c>
      <c r="DT70" s="8">
        <v>147.78219999999999</v>
      </c>
      <c r="DU70" s="8">
        <v>29.303799999999999</v>
      </c>
      <c r="DV70" s="8">
        <v>37.642499999999998</v>
      </c>
      <c r="DW70" s="8">
        <v>92.026499999999999</v>
      </c>
      <c r="DX70" s="8">
        <v>357.93650000000002</v>
      </c>
      <c r="DY70" s="8">
        <v>26.759699999999999</v>
      </c>
      <c r="DZ70" s="8">
        <v>92.741299999999995</v>
      </c>
      <c r="EA70" s="8">
        <v>124.327375</v>
      </c>
      <c r="EB70" s="8">
        <v>72.234999999999999</v>
      </c>
      <c r="EC70" s="281">
        <v>77.865200000000002</v>
      </c>
      <c r="ED70" s="395">
        <v>59.11699999999999</v>
      </c>
      <c r="EE70" s="393">
        <v>3.08</v>
      </c>
      <c r="EF70" s="393">
        <v>67.09</v>
      </c>
      <c r="EH70" s="65"/>
      <c r="EI70" s="249"/>
    </row>
    <row r="71" spans="1:150" s="26" customFormat="1">
      <c r="A71" s="27" t="s">
        <v>47</v>
      </c>
      <c r="C71" s="8">
        <f t="shared" si="42"/>
        <v>48302.34350677827</v>
      </c>
      <c r="D71" s="8">
        <f t="shared" si="43"/>
        <v>55017.02802146045</v>
      </c>
      <c r="E71" s="8">
        <f t="shared" si="44"/>
        <v>49943.467221834573</v>
      </c>
      <c r="F71" s="8">
        <f t="shared" si="45"/>
        <v>46034.982093322833</v>
      </c>
      <c r="G71" s="8">
        <f t="shared" si="46"/>
        <v>40452.513886616718</v>
      </c>
      <c r="H71" s="8">
        <f t="shared" si="47"/>
        <v>52178.077376020585</v>
      </c>
      <c r="I71" s="8">
        <f t="shared" si="48"/>
        <v>78783.495050705023</v>
      </c>
      <c r="J71" s="8">
        <f t="shared" si="49"/>
        <v>53473.420871731199</v>
      </c>
      <c r="K71" s="8">
        <f t="shared" si="50"/>
        <v>29162.713485387918</v>
      </c>
      <c r="L71" s="8">
        <f t="shared" si="68"/>
        <v>36417.643034500034</v>
      </c>
      <c r="M71" s="8">
        <f t="shared" si="52"/>
        <v>42848.470300000001</v>
      </c>
      <c r="N71" s="8">
        <f t="shared" si="25"/>
        <v>61605.098550000024</v>
      </c>
      <c r="O71" s="8">
        <f t="shared" si="53"/>
        <v>79530.688003188057</v>
      </c>
      <c r="P71" s="8">
        <f t="shared" si="27"/>
        <v>36443.947208816797</v>
      </c>
      <c r="R71" s="78">
        <f t="shared" ref="R71:X80" si="71">S71*R$8/S$8</f>
        <v>0</v>
      </c>
      <c r="S71" s="78">
        <f t="shared" si="71"/>
        <v>0</v>
      </c>
      <c r="T71" s="78">
        <f t="shared" si="71"/>
        <v>0</v>
      </c>
      <c r="U71" s="78">
        <f t="shared" si="71"/>
        <v>0</v>
      </c>
      <c r="V71" s="78">
        <f t="shared" si="71"/>
        <v>0</v>
      </c>
      <c r="W71" s="78">
        <f t="shared" si="71"/>
        <v>0</v>
      </c>
      <c r="X71" s="78">
        <f t="shared" si="71"/>
        <v>0</v>
      </c>
      <c r="Y71" s="78">
        <f t="shared" si="59"/>
        <v>0</v>
      </c>
      <c r="Z71" s="592">
        <v>0</v>
      </c>
      <c r="AA71" s="592">
        <v>0</v>
      </c>
      <c r="AB71" s="592">
        <v>0</v>
      </c>
      <c r="AC71" s="592">
        <v>0</v>
      </c>
      <c r="AD71" s="592">
        <v>0</v>
      </c>
      <c r="AE71" s="592">
        <v>0</v>
      </c>
      <c r="AG71" s="78">
        <f t="shared" si="70"/>
        <v>2494.2446610401189</v>
      </c>
      <c r="AH71" s="78">
        <f t="shared" si="70"/>
        <v>2530.1512340396257</v>
      </c>
      <c r="AI71" s="78">
        <f t="shared" si="70"/>
        <v>2573.4962587482182</v>
      </c>
      <c r="AJ71" s="78">
        <f t="shared" si="70"/>
        <v>2610.1489557209161</v>
      </c>
      <c r="AK71" s="8">
        <v>2638.9600000000005</v>
      </c>
      <c r="AL71" s="315">
        <v>11993.315999999999</v>
      </c>
      <c r="AM71" s="8">
        <v>10911.150600000003</v>
      </c>
      <c r="AN71" s="315">
        <v>20243.550000000003</v>
      </c>
      <c r="AO71" s="282">
        <v>6572.5999999999976</v>
      </c>
      <c r="AP71" s="8">
        <v>19388.700000000026</v>
      </c>
      <c r="AQ71" s="1">
        <v>7498.8300000000017</v>
      </c>
      <c r="AR71" s="312">
        <v>47306.210000000021</v>
      </c>
      <c r="AS71" s="282">
        <v>52583.860000000022</v>
      </c>
      <c r="AT71" s="282">
        <v>19116.189300000005</v>
      </c>
      <c r="AV71" s="78">
        <f t="shared" ref="AV71:BB80" si="72">AW71*AV$8/AW$8</f>
        <v>7.2705195862386516</v>
      </c>
      <c r="AW71" s="78">
        <f t="shared" si="72"/>
        <v>7.4630757466122875</v>
      </c>
      <c r="AX71" s="78">
        <f t="shared" si="72"/>
        <v>7.666622319431653</v>
      </c>
      <c r="AY71" s="78">
        <f t="shared" si="72"/>
        <v>7.8477401822128652</v>
      </c>
      <c r="AZ71" s="78">
        <f t="shared" si="72"/>
        <v>7.9344231844494137</v>
      </c>
      <c r="BA71" s="78">
        <f t="shared" si="72"/>
        <v>8.0191079298776469</v>
      </c>
      <c r="BB71" s="78">
        <f t="shared" si="72"/>
        <v>8.2491830844625706</v>
      </c>
      <c r="BC71" s="78">
        <f t="shared" si="28"/>
        <v>8.3743497566109717</v>
      </c>
      <c r="BD71" s="592">
        <v>2</v>
      </c>
      <c r="BE71" s="592">
        <v>0</v>
      </c>
      <c r="BF71" s="592">
        <v>0</v>
      </c>
      <c r="BG71" s="592">
        <v>0</v>
      </c>
      <c r="BH71" s="592">
        <v>39.9</v>
      </c>
      <c r="BI71" s="592">
        <v>40.4</v>
      </c>
      <c r="BK71" s="8">
        <v>6988.75</v>
      </c>
      <c r="BL71" s="8">
        <v>7881.4690000000001</v>
      </c>
      <c r="BM71" s="8">
        <v>7817.8949999999995</v>
      </c>
      <c r="BN71" s="8">
        <v>8694.0480000000007</v>
      </c>
      <c r="BO71" s="8">
        <v>9960.8829999999998</v>
      </c>
      <c r="BP71" s="8">
        <v>7802.2240000000002</v>
      </c>
      <c r="BQ71" s="8">
        <v>13226.074000000001</v>
      </c>
      <c r="BR71" s="8">
        <v>13412.323099999998</v>
      </c>
      <c r="BS71" s="407">
        <v>8894.9795000000013</v>
      </c>
      <c r="BT71" s="407">
        <v>5776</v>
      </c>
      <c r="BU71" s="408">
        <f t="shared" si="29"/>
        <v>5884</v>
      </c>
      <c r="BV71" s="701">
        <v>5992</v>
      </c>
      <c r="BW71" s="702">
        <v>6111.6194231880399</v>
      </c>
      <c r="BX71" s="724">
        <v>6278.4768588167908</v>
      </c>
      <c r="BZ71" s="315">
        <v>20</v>
      </c>
      <c r="CA71" s="315">
        <v>32.82</v>
      </c>
      <c r="CB71" s="315">
        <v>34.090000000000003</v>
      </c>
      <c r="CC71" s="315">
        <v>85.259999999999991</v>
      </c>
      <c r="CD71" s="315">
        <v>54.24</v>
      </c>
      <c r="CE71" s="315">
        <v>70.460000000000008</v>
      </c>
      <c r="CF71" s="315">
        <v>205.68</v>
      </c>
      <c r="CG71" s="315">
        <v>0</v>
      </c>
      <c r="CH71" s="8">
        <v>34.711255387912146</v>
      </c>
      <c r="CI71" s="8">
        <v>0.18</v>
      </c>
      <c r="CJ71" s="1">
        <v>0</v>
      </c>
      <c r="CK71" s="1">
        <v>0</v>
      </c>
      <c r="CL71" s="1">
        <v>1.38</v>
      </c>
      <c r="CM71" s="1">
        <v>0</v>
      </c>
      <c r="CO71" s="78">
        <f t="shared" ref="CO71:CU80" si="73">CP71*CO$8/CP$8</f>
        <v>45.68107615192276</v>
      </c>
      <c r="CP71" s="78">
        <f t="shared" si="73"/>
        <v>46.084711674191261</v>
      </c>
      <c r="CQ71" s="78">
        <f t="shared" si="73"/>
        <v>46.634540766924502</v>
      </c>
      <c r="CR71" s="78">
        <f t="shared" si="73"/>
        <v>47.070147419669709</v>
      </c>
      <c r="CS71" s="78">
        <f t="shared" si="73"/>
        <v>47.41941343226123</v>
      </c>
      <c r="CT71" s="78">
        <f t="shared" si="73"/>
        <v>47.570068090699458</v>
      </c>
      <c r="CU71" s="78">
        <f t="shared" si="73"/>
        <v>47.593767620558658</v>
      </c>
      <c r="CV71" s="78">
        <f t="shared" si="30"/>
        <v>47.700461974591406</v>
      </c>
      <c r="CW71" s="592">
        <v>31</v>
      </c>
      <c r="CX71" s="592">
        <v>55</v>
      </c>
      <c r="CY71" s="592">
        <v>0</v>
      </c>
      <c r="CZ71" s="592">
        <v>0</v>
      </c>
      <c r="DA71" s="592">
        <v>153</v>
      </c>
      <c r="DB71" s="592">
        <v>0</v>
      </c>
      <c r="DD71" s="315">
        <v>38742.164999999994</v>
      </c>
      <c r="DE71" s="315">
        <v>44514.878000000026</v>
      </c>
      <c r="DF71" s="315">
        <v>39362.649999999994</v>
      </c>
      <c r="DG71" s="315">
        <v>34272.632000000027</v>
      </c>
      <c r="DH71" s="315">
        <v>27474.617000000006</v>
      </c>
      <c r="DI71" s="315">
        <v>27609.51200000001</v>
      </c>
      <c r="DJ71" s="315">
        <v>36300.637999999999</v>
      </c>
      <c r="DK71" s="8">
        <v>19233.612999999994</v>
      </c>
      <c r="DL71" s="315">
        <v>12823.162000000004</v>
      </c>
      <c r="DM71" s="8">
        <v>10130.593000000008</v>
      </c>
      <c r="DN71" s="315">
        <v>28357</v>
      </c>
      <c r="DO71" s="1">
        <v>8132</v>
      </c>
      <c r="DP71" s="1">
        <v>20338.462749999999</v>
      </c>
      <c r="DQ71" s="394">
        <v>10837.414399999996</v>
      </c>
      <c r="DS71" s="8">
        <v>4.2322499999999996</v>
      </c>
      <c r="DT71" s="8">
        <v>4.1619999999999999</v>
      </c>
      <c r="DU71" s="8">
        <v>101.03479999999999</v>
      </c>
      <c r="DV71" s="8">
        <v>317.97525000000002</v>
      </c>
      <c r="DW71" s="8">
        <v>268.46005000000002</v>
      </c>
      <c r="DX71" s="8">
        <v>4646.9762000000001</v>
      </c>
      <c r="DY71" s="8">
        <v>18084.109500000002</v>
      </c>
      <c r="DZ71" s="8">
        <v>527.85996</v>
      </c>
      <c r="EA71" s="8">
        <v>804.26072999999997</v>
      </c>
      <c r="EB71" s="8">
        <v>1067.1700344999999</v>
      </c>
      <c r="EC71" s="281">
        <v>1108.6403000000023</v>
      </c>
      <c r="ED71" s="395">
        <v>174.88855000000001</v>
      </c>
      <c r="EE71" s="393">
        <v>302.4658300000001</v>
      </c>
      <c r="EF71" s="393">
        <v>171.46665000000007</v>
      </c>
      <c r="EH71" s="65"/>
      <c r="EI71" s="249"/>
    </row>
    <row r="72" spans="1:150" s="26" customFormat="1">
      <c r="A72" s="27" t="s">
        <v>48</v>
      </c>
      <c r="C72" s="8">
        <f t="shared" si="42"/>
        <v>23712.560441507292</v>
      </c>
      <c r="D72" s="8">
        <f t="shared" si="43"/>
        <v>27428.535406056209</v>
      </c>
      <c r="E72" s="8">
        <f t="shared" si="44"/>
        <v>25642.910174661742</v>
      </c>
      <c r="F72" s="8">
        <f t="shared" si="45"/>
        <v>21788.506188113697</v>
      </c>
      <c r="G72" s="8">
        <f t="shared" si="46"/>
        <v>24058.514137618749</v>
      </c>
      <c r="H72" s="8">
        <f t="shared" si="47"/>
        <v>23600.915541723909</v>
      </c>
      <c r="I72" s="8">
        <f t="shared" si="48"/>
        <v>21134.04516961479</v>
      </c>
      <c r="J72" s="8">
        <f t="shared" si="49"/>
        <v>18345.426273971909</v>
      </c>
      <c r="K72" s="8">
        <f t="shared" si="50"/>
        <v>14473.861669999998</v>
      </c>
      <c r="L72" s="8">
        <f t="shared" si="68"/>
        <v>16761.099018999997</v>
      </c>
      <c r="M72" s="8">
        <f t="shared" si="52"/>
        <v>17972.112468307467</v>
      </c>
      <c r="N72" s="8">
        <f t="shared" si="25"/>
        <v>14814.336034793467</v>
      </c>
      <c r="O72" s="8">
        <f t="shared" si="53"/>
        <v>15454.242949981101</v>
      </c>
      <c r="P72" s="8">
        <f t="shared" si="27"/>
        <v>17723.066314445801</v>
      </c>
      <c r="R72" s="78">
        <f t="shared" si="71"/>
        <v>2.6925338291667198</v>
      </c>
      <c r="S72" s="78">
        <f t="shared" si="71"/>
        <v>2.7386452643241932</v>
      </c>
      <c r="T72" s="78">
        <f t="shared" si="71"/>
        <v>2.7937482304096988</v>
      </c>
      <c r="U72" s="78">
        <f t="shared" si="71"/>
        <v>2.8475223596235395</v>
      </c>
      <c r="V72" s="78">
        <f t="shared" si="71"/>
        <v>2.9030152239528273</v>
      </c>
      <c r="W72" s="78">
        <f t="shared" si="71"/>
        <v>2.958444431425987</v>
      </c>
      <c r="X72" s="78">
        <f t="shared" si="71"/>
        <v>3.0236051807796631</v>
      </c>
      <c r="Y72" s="78">
        <f>AVERAGE(Z72:AD72)*Y$8/Z$8</f>
        <v>3.0771246825689937</v>
      </c>
      <c r="Z72" s="592">
        <v>0</v>
      </c>
      <c r="AA72" s="592">
        <v>6.56</v>
      </c>
      <c r="AB72" s="592">
        <v>5.0599999999999996</v>
      </c>
      <c r="AC72" s="592">
        <v>0</v>
      </c>
      <c r="AD72" s="592">
        <v>4</v>
      </c>
      <c r="AE72" s="592">
        <v>8.2968200000000003</v>
      </c>
      <c r="AG72" s="78">
        <f>AH72/AH8*AG8</f>
        <v>7939.5931491661922</v>
      </c>
      <c r="AH72" s="78">
        <f>AI72/AI8*AH8</f>
        <v>8053.8897077395741</v>
      </c>
      <c r="AI72" s="78">
        <f>AJ72/AJ8*AI8</f>
        <v>8191.8640879606673</v>
      </c>
      <c r="AJ72" s="78">
        <f>AK72/AK8*AJ8</f>
        <v>8308.5356825032577</v>
      </c>
      <c r="AK72" s="8">
        <v>8400.2459999999992</v>
      </c>
      <c r="AL72" s="315">
        <v>10166.778759999997</v>
      </c>
      <c r="AM72" s="8">
        <v>6539.6065000000008</v>
      </c>
      <c r="AN72" s="315">
        <v>2718.3766600000008</v>
      </c>
      <c r="AO72" s="282">
        <v>124.60480000000229</v>
      </c>
      <c r="AP72" s="8">
        <v>8886.6039999999994</v>
      </c>
      <c r="AQ72" s="1">
        <v>8826.4530107823903</v>
      </c>
      <c r="AR72" s="282">
        <v>3129.8162093115184</v>
      </c>
      <c r="AS72" s="282">
        <v>2591.9799999999996</v>
      </c>
      <c r="AT72" s="282">
        <v>4217.1609999999991</v>
      </c>
      <c r="AV72" s="78">
        <f t="shared" si="72"/>
        <v>0.42339063938955396</v>
      </c>
      <c r="AW72" s="78">
        <f t="shared" si="72"/>
        <v>0.4346039336929351</v>
      </c>
      <c r="AX72" s="78">
        <f t="shared" si="72"/>
        <v>0.44645724246809626</v>
      </c>
      <c r="AY72" s="78">
        <f t="shared" si="72"/>
        <v>0.45700444020523606</v>
      </c>
      <c r="AZ72" s="78">
        <f t="shared" si="72"/>
        <v>0.46205232864096824</v>
      </c>
      <c r="BA72" s="78">
        <f t="shared" si="72"/>
        <v>0.46698385080910398</v>
      </c>
      <c r="BB72" s="78">
        <f t="shared" si="72"/>
        <v>0.48038202210235492</v>
      </c>
      <c r="BC72" s="78">
        <f t="shared" si="28"/>
        <v>0.48767096434679646</v>
      </c>
      <c r="BD72" s="592">
        <v>0</v>
      </c>
      <c r="BE72" s="592">
        <v>0</v>
      </c>
      <c r="BF72" s="592">
        <v>0</v>
      </c>
      <c r="BG72" s="592">
        <v>0</v>
      </c>
      <c r="BH72" s="592">
        <v>2.44</v>
      </c>
      <c r="BI72" s="592">
        <v>33</v>
      </c>
      <c r="BK72" s="8">
        <v>7648.7650000000003</v>
      </c>
      <c r="BL72" s="8">
        <v>10151.700999999999</v>
      </c>
      <c r="BM72" s="8">
        <v>9628.8909999999996</v>
      </c>
      <c r="BN72" s="8">
        <v>6450.2960000000003</v>
      </c>
      <c r="BO72" s="8">
        <v>7874.5050000000001</v>
      </c>
      <c r="BP72" s="8">
        <v>7379.0439999999999</v>
      </c>
      <c r="BQ72" s="8">
        <v>5944.1570000000002</v>
      </c>
      <c r="BR72" s="8">
        <v>9977.7400000000034</v>
      </c>
      <c r="BS72" s="407">
        <v>10040.629999999996</v>
      </c>
      <c r="BT72" s="407">
        <v>5508.1979999999976</v>
      </c>
      <c r="BU72" s="408">
        <f t="shared" si="29"/>
        <v>5608.9849127409734</v>
      </c>
      <c r="BV72" s="701">
        <v>5709.7718254819492</v>
      </c>
      <c r="BW72" s="702">
        <v>8111.3285699811013</v>
      </c>
      <c r="BX72" s="724">
        <v>8658.8813744458039</v>
      </c>
      <c r="BZ72" s="315">
        <v>813.44999999999993</v>
      </c>
      <c r="CA72" s="315">
        <v>1022.78</v>
      </c>
      <c r="CB72" s="315">
        <v>694.81999999999994</v>
      </c>
      <c r="CC72" s="315">
        <v>576.43000000000006</v>
      </c>
      <c r="CD72" s="315">
        <v>399.31</v>
      </c>
      <c r="CE72" s="315">
        <v>501.95</v>
      </c>
      <c r="CF72" s="315">
        <v>480.88</v>
      </c>
      <c r="CG72" s="315">
        <v>67.599999999999994</v>
      </c>
      <c r="CH72" s="8">
        <v>532.33737000000008</v>
      </c>
      <c r="CI72" s="8">
        <v>415.45301900000004</v>
      </c>
      <c r="CJ72" s="1">
        <v>320.27666399999998</v>
      </c>
      <c r="CK72" s="1">
        <v>325.25699999999995</v>
      </c>
      <c r="CL72" s="1">
        <v>288.14499999999998</v>
      </c>
      <c r="CM72" s="1">
        <v>321.404</v>
      </c>
      <c r="CO72" s="78">
        <f t="shared" si="73"/>
        <v>152.90736787254485</v>
      </c>
      <c r="CP72" s="78">
        <f t="shared" si="73"/>
        <v>154.25844911863189</v>
      </c>
      <c r="CQ72" s="78">
        <f t="shared" si="73"/>
        <v>156.09888122819919</v>
      </c>
      <c r="CR72" s="78">
        <f t="shared" si="73"/>
        <v>157.55697881060993</v>
      </c>
      <c r="CS72" s="78">
        <f t="shared" si="73"/>
        <v>158.72607006614641</v>
      </c>
      <c r="CT72" s="78">
        <f t="shared" si="73"/>
        <v>159.23035344167184</v>
      </c>
      <c r="CU72" s="78">
        <f t="shared" si="73"/>
        <v>159.30968241191184</v>
      </c>
      <c r="CV72" s="78">
        <f t="shared" si="30"/>
        <v>159.66681832499216</v>
      </c>
      <c r="CW72" s="592">
        <v>0</v>
      </c>
      <c r="CX72" s="592">
        <v>0</v>
      </c>
      <c r="CY72" s="592">
        <v>0</v>
      </c>
      <c r="CZ72" s="592">
        <v>0</v>
      </c>
      <c r="DA72" s="592">
        <v>800</v>
      </c>
      <c r="DB72" s="592">
        <v>0</v>
      </c>
      <c r="DD72" s="8">
        <v>7141.2490000000007</v>
      </c>
      <c r="DE72" s="8">
        <v>8033.1329999999889</v>
      </c>
      <c r="DF72" s="8">
        <v>6899.8070000000016</v>
      </c>
      <c r="DG72" s="8">
        <v>6260.5830000000005</v>
      </c>
      <c r="DH72" s="8">
        <v>7197.9920000000075</v>
      </c>
      <c r="DI72" s="8">
        <v>5384.3120000000054</v>
      </c>
      <c r="DJ72" s="8">
        <v>7747.1679999999988</v>
      </c>
      <c r="DK72" s="8">
        <v>5370.8979999999947</v>
      </c>
      <c r="DL72" s="8">
        <v>3590.9250000000011</v>
      </c>
      <c r="DM72" s="8">
        <v>1944.2839999999992</v>
      </c>
      <c r="DN72" s="1">
        <v>3211.3378807841041</v>
      </c>
      <c r="DO72" s="1">
        <v>5649.491</v>
      </c>
      <c r="DP72" s="1">
        <v>3642.1833800000004</v>
      </c>
      <c r="DQ72" s="394">
        <v>4097.5031199999994</v>
      </c>
      <c r="DS72" s="8">
        <v>13.48</v>
      </c>
      <c r="DT72" s="8">
        <v>9.6</v>
      </c>
      <c r="DU72" s="8">
        <v>68.188999999999993</v>
      </c>
      <c r="DV72" s="8">
        <v>31.8</v>
      </c>
      <c r="DW72" s="8">
        <v>24.37</v>
      </c>
      <c r="DX72" s="8">
        <v>6.1749999999999998</v>
      </c>
      <c r="DY72" s="8">
        <v>259.42</v>
      </c>
      <c r="DZ72" s="8">
        <v>47.58</v>
      </c>
      <c r="EA72" s="8">
        <v>185.36450000000002</v>
      </c>
      <c r="EB72" s="8">
        <v>0</v>
      </c>
      <c r="EC72" s="281">
        <v>0</v>
      </c>
      <c r="ED72" s="395">
        <v>0</v>
      </c>
      <c r="EE72" s="393">
        <v>14.166</v>
      </c>
      <c r="EF72" s="393">
        <v>386.82</v>
      </c>
      <c r="EH72" s="65"/>
      <c r="EI72" s="249"/>
    </row>
    <row r="73" spans="1:150" s="26" customFormat="1">
      <c r="A73" s="27" t="s">
        <v>65</v>
      </c>
      <c r="C73" s="8">
        <f t="shared" si="42"/>
        <v>125925.21552873257</v>
      </c>
      <c r="D73" s="8">
        <f t="shared" si="43"/>
        <v>97057.512731527866</v>
      </c>
      <c r="E73" s="8">
        <f t="shared" si="44"/>
        <v>80743.657900143269</v>
      </c>
      <c r="F73" s="8">
        <f t="shared" si="45"/>
        <v>87439.501833219241</v>
      </c>
      <c r="G73" s="8">
        <f t="shared" si="46"/>
        <v>187758.98043328017</v>
      </c>
      <c r="H73" s="8">
        <f t="shared" si="47"/>
        <v>206219.21211458888</v>
      </c>
      <c r="I73" s="8">
        <f t="shared" si="48"/>
        <v>315957.26625924121</v>
      </c>
      <c r="J73" s="8">
        <f t="shared" si="49"/>
        <v>218410.28379340403</v>
      </c>
      <c r="K73" s="8">
        <f t="shared" si="50"/>
        <v>229969.15922644411</v>
      </c>
      <c r="L73" s="8">
        <f t="shared" si="68"/>
        <v>134346.740204</v>
      </c>
      <c r="M73" s="8">
        <f t="shared" si="52"/>
        <v>146667.24792062488</v>
      </c>
      <c r="N73" s="8">
        <f t="shared" si="25"/>
        <v>175951.99293105083</v>
      </c>
      <c r="O73" s="8">
        <f t="shared" si="53"/>
        <v>180692.39722078218</v>
      </c>
      <c r="P73" s="8">
        <f t="shared" si="27"/>
        <v>195990.59981811888</v>
      </c>
      <c r="R73" s="78">
        <f t="shared" si="71"/>
        <v>0</v>
      </c>
      <c r="S73" s="78">
        <f t="shared" si="71"/>
        <v>0</v>
      </c>
      <c r="T73" s="78">
        <f t="shared" si="71"/>
        <v>0</v>
      </c>
      <c r="U73" s="78">
        <f t="shared" si="71"/>
        <v>0</v>
      </c>
      <c r="V73" s="78">
        <f t="shared" si="71"/>
        <v>0</v>
      </c>
      <c r="W73" s="78">
        <f t="shared" si="71"/>
        <v>0</v>
      </c>
      <c r="X73" s="78">
        <f t="shared" si="71"/>
        <v>0</v>
      </c>
      <c r="Y73" s="78">
        <v>0</v>
      </c>
      <c r="Z73" s="592">
        <v>0</v>
      </c>
      <c r="AA73" s="592">
        <v>0</v>
      </c>
      <c r="AB73" s="592">
        <v>5</v>
      </c>
      <c r="AC73" s="592">
        <v>20.0425</v>
      </c>
      <c r="AD73" s="592">
        <v>39.606999999999999</v>
      </c>
      <c r="AE73" s="592">
        <v>0.63128000000000006</v>
      </c>
      <c r="AG73" s="78">
        <f t="shared" ref="AG73:AJ73" si="74">AH73*AG$8/AH$8</f>
        <v>9782.9555762851269</v>
      </c>
      <c r="AH73" s="78">
        <f t="shared" si="74"/>
        <v>9923.7887567816742</v>
      </c>
      <c r="AI73" s="78">
        <f t="shared" si="74"/>
        <v>10093.797119554038</v>
      </c>
      <c r="AJ73" s="78">
        <f t="shared" si="74"/>
        <v>10237.556756223126</v>
      </c>
      <c r="AK73" s="8">
        <v>10350.559771000002</v>
      </c>
      <c r="AL73" s="315">
        <v>34169.643162459957</v>
      </c>
      <c r="AM73" s="8">
        <v>24976.282704999998</v>
      </c>
      <c r="AN73" s="315">
        <v>24500.161506000022</v>
      </c>
      <c r="AO73" s="282">
        <v>12686.254509999992</v>
      </c>
      <c r="AP73" s="8">
        <v>15244.61851600001</v>
      </c>
      <c r="AQ73" s="8">
        <v>13857.464351999999</v>
      </c>
      <c r="AR73" s="282">
        <v>9464.9683863011924</v>
      </c>
      <c r="AS73" s="282">
        <v>13620.038790499999</v>
      </c>
      <c r="AT73" s="282">
        <v>14417.85555650001</v>
      </c>
      <c r="AV73" s="78">
        <f t="shared" si="72"/>
        <v>334.57751194744111</v>
      </c>
      <c r="AW73" s="78">
        <f t="shared" si="72"/>
        <v>343.43863394619132</v>
      </c>
      <c r="AX73" s="78">
        <f t="shared" si="72"/>
        <v>352.80551688922515</v>
      </c>
      <c r="AY73" s="78">
        <f t="shared" si="72"/>
        <v>361.14026699611895</v>
      </c>
      <c r="AZ73" s="78">
        <f t="shared" si="72"/>
        <v>365.12927808018685</v>
      </c>
      <c r="BA73" s="78">
        <f t="shared" si="72"/>
        <v>369.02633262893039</v>
      </c>
      <c r="BB73" s="78">
        <f t="shared" si="72"/>
        <v>379.61401785126958</v>
      </c>
      <c r="BC73" s="78">
        <f t="shared" si="28"/>
        <v>385.37398496908298</v>
      </c>
      <c r="BD73" s="592">
        <v>0</v>
      </c>
      <c r="BE73" s="592">
        <v>0</v>
      </c>
      <c r="BF73" s="592">
        <v>0</v>
      </c>
      <c r="BG73" s="592">
        <v>0</v>
      </c>
      <c r="BH73" s="592">
        <v>1928.17</v>
      </c>
      <c r="BI73" s="592">
        <v>15</v>
      </c>
      <c r="BK73" s="8">
        <v>64233.058000000005</v>
      </c>
      <c r="BL73" s="8">
        <v>57486.281999999999</v>
      </c>
      <c r="BM73" s="8">
        <v>57293.895000000004</v>
      </c>
      <c r="BN73" s="8">
        <v>65276.089</v>
      </c>
      <c r="BO73" s="8">
        <v>104011.82</v>
      </c>
      <c r="BP73" s="8">
        <v>83945.98</v>
      </c>
      <c r="BQ73" s="8">
        <v>198748.16</v>
      </c>
      <c r="BR73" s="8">
        <v>161151.37455999994</v>
      </c>
      <c r="BS73" s="407">
        <v>137222.96854877999</v>
      </c>
      <c r="BT73" s="407">
        <v>65966.038285999995</v>
      </c>
      <c r="BU73" s="408">
        <f t="shared" si="29"/>
        <v>67737.360808624842</v>
      </c>
      <c r="BV73" s="701">
        <v>69508.683331249689</v>
      </c>
      <c r="BW73" s="702">
        <v>81701.366253482163</v>
      </c>
      <c r="BX73" s="724">
        <v>86645.279769618821</v>
      </c>
      <c r="BZ73" s="315">
        <v>34999.420000000006</v>
      </c>
      <c r="CA73" s="315">
        <v>17230.71</v>
      </c>
      <c r="CB73" s="315">
        <v>5158.34</v>
      </c>
      <c r="CC73" s="315">
        <v>5877.51</v>
      </c>
      <c r="CD73" s="315">
        <v>68310.5</v>
      </c>
      <c r="CE73" s="315">
        <v>75395.48</v>
      </c>
      <c r="CF73" s="315">
        <v>65707.199999999997</v>
      </c>
      <c r="CG73" s="315">
        <v>480.93</v>
      </c>
      <c r="CH73" s="8">
        <v>69044.528930664121</v>
      </c>
      <c r="CI73" s="8">
        <v>46797.619299999998</v>
      </c>
      <c r="CJ73" s="1">
        <v>26140.839506999993</v>
      </c>
      <c r="CK73" s="8">
        <v>22727.204205999995</v>
      </c>
      <c r="CL73" s="8">
        <v>24235.199763000019</v>
      </c>
      <c r="CM73" s="8">
        <v>33044.748928000045</v>
      </c>
      <c r="CO73" s="78">
        <f t="shared" si="73"/>
        <v>0</v>
      </c>
      <c r="CP73" s="78">
        <f t="shared" si="73"/>
        <v>0</v>
      </c>
      <c r="CQ73" s="78">
        <f t="shared" si="73"/>
        <v>0</v>
      </c>
      <c r="CR73" s="78">
        <f t="shared" si="73"/>
        <v>0</v>
      </c>
      <c r="CS73" s="78">
        <f t="shared" si="73"/>
        <v>0</v>
      </c>
      <c r="CT73" s="78">
        <f t="shared" si="73"/>
        <v>0</v>
      </c>
      <c r="CU73" s="78">
        <f t="shared" si="73"/>
        <v>0</v>
      </c>
      <c r="CV73" s="78">
        <f t="shared" si="30"/>
        <v>0</v>
      </c>
      <c r="CW73" s="592">
        <v>0</v>
      </c>
      <c r="CX73" s="592">
        <v>0</v>
      </c>
      <c r="CY73" s="592">
        <v>0</v>
      </c>
      <c r="CZ73" s="592">
        <v>0</v>
      </c>
      <c r="DA73" s="592">
        <v>0</v>
      </c>
      <c r="DB73" s="592">
        <v>0</v>
      </c>
      <c r="DD73" s="8">
        <v>15777.974000000006</v>
      </c>
      <c r="DE73" s="8">
        <v>7852.1959999999999</v>
      </c>
      <c r="DF73" s="8">
        <v>6324.0879999999997</v>
      </c>
      <c r="DG73" s="8">
        <v>3405.594999999998</v>
      </c>
      <c r="DH73" s="8">
        <v>2976.0689999999963</v>
      </c>
      <c r="DI73" s="8">
        <v>8823.761999999997</v>
      </c>
      <c r="DJ73" s="8">
        <v>16467.767999999975</v>
      </c>
      <c r="DK73" s="8">
        <v>11937.590000000004</v>
      </c>
      <c r="DL73" s="8">
        <v>4463.5560840000035</v>
      </c>
      <c r="DM73" s="8">
        <v>2347.8130000000006</v>
      </c>
      <c r="DN73" s="8">
        <v>27532.407200000034</v>
      </c>
      <c r="DO73" s="8">
        <v>32383.763149999992</v>
      </c>
      <c r="DP73" s="8">
        <v>12565.411264999993</v>
      </c>
      <c r="DQ73" s="396">
        <v>38396.173099000007</v>
      </c>
      <c r="DS73" s="8">
        <v>797.23044049999999</v>
      </c>
      <c r="DT73" s="8">
        <v>4221.0973407999991</v>
      </c>
      <c r="DU73" s="8">
        <v>1520.7322637</v>
      </c>
      <c r="DV73" s="8">
        <v>2281.6108100000001</v>
      </c>
      <c r="DW73" s="8">
        <v>1744.9023841999999</v>
      </c>
      <c r="DX73" s="8">
        <v>3515.3206194999998</v>
      </c>
      <c r="DY73" s="8">
        <v>9678.2415363899981</v>
      </c>
      <c r="DZ73" s="8">
        <v>19954.853742435</v>
      </c>
      <c r="EA73" s="8">
        <v>6551.8511529999996</v>
      </c>
      <c r="EB73" s="8">
        <v>3990.6511019999998</v>
      </c>
      <c r="EC73" s="8">
        <v>11394.176052999996</v>
      </c>
      <c r="ED73" s="396">
        <v>41847.331357499977</v>
      </c>
      <c r="EE73" s="393">
        <v>46602.604148799997</v>
      </c>
      <c r="EF73" s="393">
        <v>23470.911185000001</v>
      </c>
      <c r="EH73" s="65"/>
      <c r="EI73" s="65"/>
      <c r="EJ73" s="65"/>
      <c r="EK73" s="65"/>
      <c r="EL73" s="65"/>
      <c r="EM73" s="65"/>
      <c r="EN73" s="65"/>
      <c r="EO73" s="65"/>
      <c r="EP73" s="65"/>
      <c r="EQ73" s="65"/>
      <c r="ER73" s="65"/>
      <c r="ES73" s="65"/>
      <c r="ET73" s="65"/>
    </row>
    <row r="74" spans="1:150" s="26" customFormat="1">
      <c r="A74" s="27" t="s">
        <v>49</v>
      </c>
      <c r="C74" s="8">
        <f t="shared" si="42"/>
        <v>315654.21649788524</v>
      </c>
      <c r="D74" s="8">
        <f t="shared" si="43"/>
        <v>317926.35282575304</v>
      </c>
      <c r="E74" s="8">
        <f t="shared" si="44"/>
        <v>344741.07563549437</v>
      </c>
      <c r="F74" s="8">
        <f t="shared" si="45"/>
        <v>366484.84410364099</v>
      </c>
      <c r="G74" s="8">
        <f t="shared" si="46"/>
        <v>368544.45284319913</v>
      </c>
      <c r="H74" s="8">
        <f t="shared" si="47"/>
        <v>425756.81890011806</v>
      </c>
      <c r="I74" s="8">
        <f t="shared" si="48"/>
        <v>778861.30999801587</v>
      </c>
      <c r="J74" s="8">
        <f t="shared" si="49"/>
        <v>683463.75260122283</v>
      </c>
      <c r="K74" s="8">
        <f t="shared" si="50"/>
        <v>612725.47315094562</v>
      </c>
      <c r="L74" s="8">
        <f t="shared" si="68"/>
        <v>892313.92537051125</v>
      </c>
      <c r="M74" s="8">
        <f t="shared" si="52"/>
        <v>1234423.5716863368</v>
      </c>
      <c r="N74" s="8">
        <f t="shared" si="25"/>
        <v>1623813.7393088939</v>
      </c>
      <c r="O74" s="8">
        <f t="shared" si="53"/>
        <v>1699105.3064821295</v>
      </c>
      <c r="P74" s="8">
        <f t="shared" si="27"/>
        <v>1326502.577476759</v>
      </c>
      <c r="R74" s="699">
        <v>372</v>
      </c>
      <c r="S74" s="699">
        <v>23.56</v>
      </c>
      <c r="T74" s="699">
        <f>(17950.62+710.41)</f>
        <v>18661.03</v>
      </c>
      <c r="U74" s="699">
        <v>170</v>
      </c>
      <c r="V74" s="699">
        <v>1125.54</v>
      </c>
      <c r="W74" s="699">
        <v>4756.68</v>
      </c>
      <c r="X74" s="699">
        <v>5954.079999999999</v>
      </c>
      <c r="Y74" s="699">
        <v>6679.5099999999993</v>
      </c>
      <c r="Z74" s="699">
        <v>5856</v>
      </c>
      <c r="AA74" s="699">
        <v>68405</v>
      </c>
      <c r="AB74" s="699">
        <v>208474</v>
      </c>
      <c r="AC74" s="699">
        <v>94293</v>
      </c>
      <c r="AD74" s="699">
        <v>48176</v>
      </c>
      <c r="AE74" s="699">
        <v>12417</v>
      </c>
      <c r="AG74" s="78">
        <f>AH74*AG$8/AH$8</f>
        <v>208186.98795964816</v>
      </c>
      <c r="AH74" s="696">
        <v>211184</v>
      </c>
      <c r="AI74" s="696">
        <v>222299</v>
      </c>
      <c r="AJ74" s="696">
        <v>227936</v>
      </c>
      <c r="AK74" s="697">
        <v>194700</v>
      </c>
      <c r="AL74" s="697">
        <v>207300</v>
      </c>
      <c r="AM74" s="697">
        <v>531000</v>
      </c>
      <c r="AN74" s="697">
        <v>420000</v>
      </c>
      <c r="AO74" s="697">
        <v>306465.15619999997</v>
      </c>
      <c r="AP74" s="697">
        <f>219966+288190</f>
        <v>508156</v>
      </c>
      <c r="AQ74" s="697">
        <v>682444.00971245882</v>
      </c>
      <c r="AR74" s="697">
        <v>1158050.2272319649</v>
      </c>
      <c r="AS74" s="697">
        <v>1318778.7040000001</v>
      </c>
      <c r="AT74" s="697">
        <v>904497.98199999996</v>
      </c>
      <c r="AV74" s="78">
        <f t="shared" si="72"/>
        <v>1579.4245382370787</v>
      </c>
      <c r="AW74" s="78">
        <f t="shared" si="72"/>
        <v>1621.2548257530459</v>
      </c>
      <c r="AX74" s="78">
        <f t="shared" si="72"/>
        <v>1665.4726354943832</v>
      </c>
      <c r="AY74" s="78">
        <f t="shared" si="72"/>
        <v>1704.8181036409994</v>
      </c>
      <c r="AZ74" s="699">
        <v>1723.6488431990911</v>
      </c>
      <c r="BA74" s="699">
        <v>1758.1006556357916</v>
      </c>
      <c r="BB74" s="699">
        <v>1801.3759476150087</v>
      </c>
      <c r="BC74" s="699">
        <v>1810.11</v>
      </c>
      <c r="BD74" s="699">
        <v>1999.94</v>
      </c>
      <c r="BE74" s="699">
        <v>5982.08</v>
      </c>
      <c r="BF74" s="699">
        <v>5913</v>
      </c>
      <c r="BG74" s="699">
        <v>5225</v>
      </c>
      <c r="BH74" s="699">
        <v>7117.6900000000005</v>
      </c>
      <c r="BI74" s="699">
        <v>17434.7</v>
      </c>
      <c r="BK74" s="699">
        <v>49846.684000000001</v>
      </c>
      <c r="BL74" s="699">
        <v>44771.517</v>
      </c>
      <c r="BM74" s="699">
        <v>48577.125</v>
      </c>
      <c r="BN74" s="699">
        <v>67597.585999999996</v>
      </c>
      <c r="BO74" s="699">
        <v>87834.013999999996</v>
      </c>
      <c r="BP74" s="699">
        <v>101047.52</v>
      </c>
      <c r="BQ74" s="699">
        <v>113345.20699999999</v>
      </c>
      <c r="BR74" s="699">
        <v>120728.49771999917</v>
      </c>
      <c r="BS74" s="700">
        <v>150301.82024999982</v>
      </c>
      <c r="BT74" s="700">
        <v>145101.52556999982</v>
      </c>
      <c r="BU74" s="700">
        <v>152968.72197387955</v>
      </c>
      <c r="BV74" s="703">
        <v>150036.20125506361</v>
      </c>
      <c r="BW74" s="703">
        <v>136667.96377404567</v>
      </c>
      <c r="BX74" s="703">
        <v>150136.94209342581</v>
      </c>
      <c r="BZ74" s="697">
        <v>11757.099999999999</v>
      </c>
      <c r="CA74" s="697">
        <v>17601.5</v>
      </c>
      <c r="CB74" s="697">
        <v>7797.58</v>
      </c>
      <c r="CC74" s="697">
        <v>5915.73</v>
      </c>
      <c r="CD74" s="697">
        <v>21084.879999999997</v>
      </c>
      <c r="CE74" s="697">
        <v>22828.489999999998</v>
      </c>
      <c r="CF74" s="697">
        <v>20128.580000000002</v>
      </c>
      <c r="CG74" s="697">
        <v>15991.280000000002</v>
      </c>
      <c r="CH74" s="699">
        <v>14517</v>
      </c>
      <c r="CI74" s="699">
        <v>9224</v>
      </c>
      <c r="CJ74" s="704">
        <v>11770</v>
      </c>
      <c r="CK74" s="699">
        <v>17302</v>
      </c>
      <c r="CL74" s="699">
        <v>42987.31294999989</v>
      </c>
      <c r="CM74" s="699">
        <v>36083.15</v>
      </c>
      <c r="CO74" s="699">
        <v>1587.96</v>
      </c>
      <c r="CP74" s="699">
        <v>1009.481</v>
      </c>
      <c r="CQ74" s="699">
        <v>2022.6079999999999</v>
      </c>
      <c r="CR74" s="699">
        <v>331.64</v>
      </c>
      <c r="CS74" s="699">
        <v>170.91</v>
      </c>
      <c r="CT74" s="699">
        <v>14916.508244482304</v>
      </c>
      <c r="CU74" s="699">
        <v>14931.287050401026</v>
      </c>
      <c r="CV74" s="699">
        <v>14971.804881223559</v>
      </c>
      <c r="CW74" s="699">
        <v>15015.412561015295</v>
      </c>
      <c r="CX74" s="699">
        <v>15085.283957045232</v>
      </c>
      <c r="CY74" s="699">
        <v>15228</v>
      </c>
      <c r="CZ74" s="699">
        <v>5058.79</v>
      </c>
      <c r="DA74" s="699">
        <v>3259.3049999999998</v>
      </c>
      <c r="DB74" s="699">
        <v>3258.2474999999999</v>
      </c>
      <c r="DD74" s="699">
        <v>42099</v>
      </c>
      <c r="DE74" s="699">
        <v>35768</v>
      </c>
      <c r="DF74" s="699">
        <v>32882</v>
      </c>
      <c r="DG74" s="699">
        <v>50543</v>
      </c>
      <c r="DH74" s="699">
        <v>42515</v>
      </c>
      <c r="DI74" s="699">
        <v>61050</v>
      </c>
      <c r="DJ74" s="699">
        <v>65656</v>
      </c>
      <c r="DK74" s="699">
        <v>74046</v>
      </c>
      <c r="DL74" s="699">
        <v>80078</v>
      </c>
      <c r="DM74" s="699">
        <v>101636</v>
      </c>
      <c r="DN74" s="699">
        <v>118625.83999999841</v>
      </c>
      <c r="DO74" s="699">
        <v>154520</v>
      </c>
      <c r="DP74" s="699">
        <v>102842.18505999989</v>
      </c>
      <c r="DQ74" s="705">
        <v>178502.46255000014</v>
      </c>
      <c r="DS74" s="699">
        <v>225.06</v>
      </c>
      <c r="DT74" s="699">
        <v>5947.04</v>
      </c>
      <c r="DU74" s="699">
        <v>10836.26</v>
      </c>
      <c r="DV74" s="699">
        <v>12286.07</v>
      </c>
      <c r="DW74" s="699">
        <v>19390.46</v>
      </c>
      <c r="DX74" s="699">
        <v>12099.52</v>
      </c>
      <c r="DY74" s="699">
        <v>26044.78</v>
      </c>
      <c r="DZ74" s="699">
        <v>29236.55</v>
      </c>
      <c r="EA74" s="699">
        <v>38492.144139930453</v>
      </c>
      <c r="EB74" s="699">
        <v>38724.035843466285</v>
      </c>
      <c r="EC74" s="699">
        <v>39000</v>
      </c>
      <c r="ED74" s="705">
        <v>39328.520821865335</v>
      </c>
      <c r="EE74" s="706">
        <v>39276.14569808395</v>
      </c>
      <c r="EF74" s="706">
        <v>24172.093333333331</v>
      </c>
      <c r="EH74" s="65"/>
      <c r="EI74" s="65"/>
      <c r="EJ74" s="65"/>
      <c r="EK74" s="65"/>
      <c r="EL74" s="65"/>
      <c r="EM74" s="65"/>
      <c r="EN74" s="65"/>
      <c r="EO74" s="65"/>
      <c r="EP74" s="65"/>
      <c r="EQ74" s="65"/>
      <c r="ER74" s="65"/>
      <c r="ES74" s="65"/>
      <c r="ET74" s="65"/>
    </row>
    <row r="75" spans="1:150" s="26" customFormat="1">
      <c r="A75" s="27" t="s">
        <v>50</v>
      </c>
      <c r="C75" s="8">
        <f t="shared" ref="C75:C83" si="75">SUM(R75,AG75,AV75,BK75,BZ75,CO75,DD75,DS75)</f>
        <v>543.31000000000029</v>
      </c>
      <c r="D75" s="8">
        <f t="shared" ref="D75:D83" si="76">SUM(S75,AH75,AW75,BL75,CA75,CP75,DE75,DT75)</f>
        <v>195.07499999999996</v>
      </c>
      <c r="E75" s="8">
        <f t="shared" ref="E75:E83" si="77">SUM(T75,AI75,AX75,BM75,CB75,CQ75,DF75,DU75)</f>
        <v>195.696</v>
      </c>
      <c r="F75" s="8">
        <f t="shared" ref="F75:F83" si="78">SUM(U75,AJ75,AY75,BN75,CC75,CR75,DG75,DV75)</f>
        <v>235.15300000000005</v>
      </c>
      <c r="G75" s="8">
        <f t="shared" ref="G75:G83" si="79">SUM(V75,AK75,AZ75,BO75,CD75,CS75,DH75,DW75)</f>
        <v>141.51800000000003</v>
      </c>
      <c r="H75" s="8">
        <f t="shared" ref="H75:H83" si="80">SUM(W75,AL75,BA75,BP75,CE75,CT75,DI75,DX75)</f>
        <v>117.33499999999999</v>
      </c>
      <c r="I75" s="8">
        <f t="shared" ref="I75:I83" si="81">SUM(X75,AM75,BB75,BQ75,CF75,CU75,DJ75,DY75)</f>
        <v>100.26100000000002</v>
      </c>
      <c r="J75" s="8">
        <f t="shared" ref="J75:J83" si="82">SUM(Y75,AN75,BC75,BR75,CG75,CV75,DK75,DZ75)</f>
        <v>1360.0900000000001</v>
      </c>
      <c r="K75" s="8">
        <f t="shared" ref="K75:K83" si="83">SUM(Z75,AO75,BD75,BS75,CH75,CW75,DL75,EA75)</f>
        <v>2117.3794000000003</v>
      </c>
      <c r="L75" s="8">
        <f t="shared" si="68"/>
        <v>165.60520000000002</v>
      </c>
      <c r="M75" s="8">
        <f t="shared" si="52"/>
        <v>267.83460000000002</v>
      </c>
      <c r="N75" s="8">
        <f t="shared" si="25"/>
        <v>190.64179999999999</v>
      </c>
      <c r="O75" s="8">
        <f t="shared" ref="O75:O83" si="84">SUM(AD75,AS75,BH75,BW75,CL75,DA75,DP75,EE75)</f>
        <v>109.101</v>
      </c>
      <c r="P75" s="8">
        <f t="shared" ref="P75:P83" si="85">SUM(AE75,AT75,BI75,BX75,CM75,DB75,DQ75,EF75)</f>
        <v>4.5280000000000005</v>
      </c>
      <c r="R75" s="78">
        <f t="shared" si="71"/>
        <v>0</v>
      </c>
      <c r="S75" s="78">
        <f t="shared" si="71"/>
        <v>0</v>
      </c>
      <c r="T75" s="78">
        <f t="shared" si="71"/>
        <v>0</v>
      </c>
      <c r="U75" s="78">
        <f t="shared" si="71"/>
        <v>0</v>
      </c>
      <c r="V75" s="78">
        <f t="shared" si="71"/>
        <v>0</v>
      </c>
      <c r="W75" s="78">
        <f t="shared" si="71"/>
        <v>0</v>
      </c>
      <c r="X75" s="78">
        <f t="shared" si="71"/>
        <v>0</v>
      </c>
      <c r="Y75" s="78">
        <f t="shared" ref="Y75:Y82" si="86">AVERAGE(Z75:AD75)*Y$8/Z$8</f>
        <v>0</v>
      </c>
      <c r="Z75" s="592">
        <v>0</v>
      </c>
      <c r="AA75" s="592">
        <v>0</v>
      </c>
      <c r="AB75" s="592">
        <v>0</v>
      </c>
      <c r="AC75" s="592">
        <v>0</v>
      </c>
      <c r="AD75" s="592">
        <v>0</v>
      </c>
      <c r="AE75" s="592">
        <v>0</v>
      </c>
      <c r="AG75" s="78">
        <f>AH75/AH$8*AG$8</f>
        <v>0</v>
      </c>
      <c r="AH75" s="78">
        <f>AI75/AI$8*AH$8</f>
        <v>0</v>
      </c>
      <c r="AI75" s="78">
        <f>AJ75/AJ$8*AI$8</f>
        <v>0</v>
      </c>
      <c r="AJ75" s="78">
        <f>AK75/AK$8*AJ$8</f>
        <v>0</v>
      </c>
      <c r="AK75" s="8">
        <v>0</v>
      </c>
      <c r="AL75" s="315">
        <v>0</v>
      </c>
      <c r="AM75" s="8">
        <v>0</v>
      </c>
      <c r="AN75" s="315">
        <v>0</v>
      </c>
      <c r="AO75" s="282">
        <v>0</v>
      </c>
      <c r="AP75" s="8">
        <v>0</v>
      </c>
      <c r="AQ75" s="1">
        <v>0</v>
      </c>
      <c r="AR75" s="282">
        <v>0</v>
      </c>
      <c r="AS75" s="282">
        <v>0</v>
      </c>
      <c r="AT75" s="282">
        <v>0</v>
      </c>
      <c r="AV75" s="78">
        <f t="shared" si="72"/>
        <v>0</v>
      </c>
      <c r="AW75" s="78">
        <f t="shared" si="72"/>
        <v>0</v>
      </c>
      <c r="AX75" s="78">
        <f t="shared" si="72"/>
        <v>0</v>
      </c>
      <c r="AY75" s="78">
        <f t="shared" si="72"/>
        <v>0</v>
      </c>
      <c r="AZ75" s="78">
        <f t="shared" si="72"/>
        <v>0</v>
      </c>
      <c r="BA75" s="78">
        <f t="shared" si="72"/>
        <v>0</v>
      </c>
      <c r="BB75" s="78">
        <f t="shared" si="72"/>
        <v>0</v>
      </c>
      <c r="BC75" s="78">
        <f t="shared" si="28"/>
        <v>0</v>
      </c>
      <c r="BD75" s="592">
        <v>0</v>
      </c>
      <c r="BE75" s="592">
        <v>0</v>
      </c>
      <c r="BF75" s="592">
        <v>0</v>
      </c>
      <c r="BG75" s="592">
        <v>0</v>
      </c>
      <c r="BH75" s="592">
        <v>0</v>
      </c>
      <c r="BI75" s="721">
        <v>0</v>
      </c>
      <c r="BK75" s="8">
        <v>0</v>
      </c>
      <c r="BL75" s="8">
        <v>0</v>
      </c>
      <c r="BM75" s="8">
        <v>0</v>
      </c>
      <c r="BN75" s="8">
        <v>0</v>
      </c>
      <c r="BO75" s="8">
        <v>0</v>
      </c>
      <c r="BP75" s="8">
        <v>0</v>
      </c>
      <c r="BQ75" s="8">
        <v>0</v>
      </c>
      <c r="BR75" s="8">
        <v>0</v>
      </c>
      <c r="BS75" s="407">
        <v>0</v>
      </c>
      <c r="BT75" s="407">
        <v>0</v>
      </c>
      <c r="BU75" s="408">
        <f t="shared" si="29"/>
        <v>0</v>
      </c>
      <c r="BV75" s="701">
        <v>0</v>
      </c>
      <c r="BW75" s="702">
        <v>0</v>
      </c>
      <c r="BX75" s="724">
        <v>0</v>
      </c>
      <c r="BZ75" s="315">
        <v>0</v>
      </c>
      <c r="CA75" s="315">
        <v>1.1200000000000001</v>
      </c>
      <c r="CB75" s="315">
        <v>1.2</v>
      </c>
      <c r="CC75" s="315">
        <v>0</v>
      </c>
      <c r="CD75" s="315">
        <v>0.02</v>
      </c>
      <c r="CE75" s="315">
        <v>26.72</v>
      </c>
      <c r="CF75" s="315">
        <v>12.7</v>
      </c>
      <c r="CG75" s="315">
        <v>1240.43</v>
      </c>
      <c r="CH75" s="8">
        <v>1955.74</v>
      </c>
      <c r="CI75" s="8">
        <v>0.57199999999999995</v>
      </c>
      <c r="CJ75" s="1">
        <v>109.61500000000001</v>
      </c>
      <c r="CK75" s="1">
        <v>45.349999999999994</v>
      </c>
      <c r="CL75" s="1">
        <v>0</v>
      </c>
      <c r="CM75" s="1">
        <v>0</v>
      </c>
      <c r="CO75" s="78">
        <f t="shared" si="73"/>
        <v>0</v>
      </c>
      <c r="CP75" s="78">
        <f t="shared" si="73"/>
        <v>0</v>
      </c>
      <c r="CQ75" s="78">
        <f t="shared" si="73"/>
        <v>0</v>
      </c>
      <c r="CR75" s="78">
        <f t="shared" si="73"/>
        <v>0</v>
      </c>
      <c r="CS75" s="78">
        <f t="shared" si="73"/>
        <v>0</v>
      </c>
      <c r="CT75" s="78">
        <f t="shared" si="73"/>
        <v>0</v>
      </c>
      <c r="CU75" s="78">
        <f t="shared" si="73"/>
        <v>0</v>
      </c>
      <c r="CV75" s="78">
        <f t="shared" si="30"/>
        <v>0</v>
      </c>
      <c r="CW75" s="592">
        <v>0</v>
      </c>
      <c r="CX75" s="592">
        <v>0</v>
      </c>
      <c r="CY75" s="592">
        <v>0</v>
      </c>
      <c r="CZ75" s="592">
        <v>0</v>
      </c>
      <c r="DA75" s="592">
        <v>0</v>
      </c>
      <c r="DB75" s="592">
        <v>0</v>
      </c>
      <c r="DD75" s="8">
        <v>543.31000000000029</v>
      </c>
      <c r="DE75" s="8">
        <v>193.95499999999996</v>
      </c>
      <c r="DF75" s="8">
        <v>194.49600000000001</v>
      </c>
      <c r="DG75" s="8">
        <v>235.15300000000005</v>
      </c>
      <c r="DH75" s="8">
        <v>141.49800000000002</v>
      </c>
      <c r="DI75" s="8">
        <v>90.614999999999995</v>
      </c>
      <c r="DJ75" s="8">
        <v>87.561000000000021</v>
      </c>
      <c r="DK75" s="8">
        <v>119.66000000000004</v>
      </c>
      <c r="DL75" s="8">
        <v>126.70000000000002</v>
      </c>
      <c r="DM75" s="8">
        <v>116.26800000000003</v>
      </c>
      <c r="DN75" s="1">
        <v>96.029000000000011</v>
      </c>
      <c r="DO75" s="1">
        <v>56.659999999999982</v>
      </c>
      <c r="DP75" s="1">
        <v>39.746000000000002</v>
      </c>
      <c r="DQ75" s="394">
        <v>2.4000000000000004</v>
      </c>
      <c r="DS75" s="8">
        <v>0</v>
      </c>
      <c r="DT75" s="8">
        <v>0</v>
      </c>
      <c r="DU75" s="8">
        <v>0</v>
      </c>
      <c r="DV75" s="8">
        <v>0</v>
      </c>
      <c r="DW75" s="8">
        <v>0</v>
      </c>
      <c r="DX75" s="8">
        <v>0</v>
      </c>
      <c r="DY75" s="8">
        <v>0</v>
      </c>
      <c r="DZ75" s="8">
        <v>0</v>
      </c>
      <c r="EA75" s="8">
        <v>34.939399999999999</v>
      </c>
      <c r="EB75" s="8">
        <v>48.7652</v>
      </c>
      <c r="EC75" s="281">
        <v>62.190600000000003</v>
      </c>
      <c r="ED75" s="394">
        <v>88.631799999999998</v>
      </c>
      <c r="EE75" s="393">
        <v>69.355000000000004</v>
      </c>
      <c r="EF75" s="393">
        <v>2.1280000000000001</v>
      </c>
      <c r="EH75" s="65"/>
      <c r="EI75" s="65"/>
      <c r="EJ75" s="65"/>
      <c r="EK75" s="65"/>
      <c r="EL75" s="65"/>
      <c r="EM75" s="65"/>
      <c r="EN75" s="65"/>
      <c r="EO75" s="65"/>
      <c r="EP75" s="65"/>
      <c r="EQ75" s="65"/>
      <c r="ER75" s="65"/>
      <c r="ES75" s="65"/>
      <c r="ET75" s="65"/>
    </row>
    <row r="76" spans="1:150" s="26" customFormat="1">
      <c r="A76" s="27" t="s">
        <v>51</v>
      </c>
      <c r="C76" s="8">
        <f t="shared" si="75"/>
        <v>57337.116565156175</v>
      </c>
      <c r="D76" s="8">
        <f t="shared" si="76"/>
        <v>75362.358224463402</v>
      </c>
      <c r="E76" s="8">
        <f t="shared" si="77"/>
        <v>49356.345856417589</v>
      </c>
      <c r="F76" s="8">
        <f t="shared" si="78"/>
        <v>58129.309803519165</v>
      </c>
      <c r="G76" s="8">
        <f t="shared" si="79"/>
        <v>44329.542452576825</v>
      </c>
      <c r="H76" s="8">
        <f t="shared" si="80"/>
        <v>56183.415220775976</v>
      </c>
      <c r="I76" s="8">
        <f t="shared" si="81"/>
        <v>59714.104043076448</v>
      </c>
      <c r="J76" s="8">
        <f t="shared" si="82"/>
        <v>60930.016058508147</v>
      </c>
      <c r="K76" s="8">
        <f t="shared" si="83"/>
        <v>84542.853476479038</v>
      </c>
      <c r="L76" s="8">
        <f t="shared" si="68"/>
        <v>54914.533471080525</v>
      </c>
      <c r="M76" s="8">
        <f t="shared" si="52"/>
        <v>52056.809541196766</v>
      </c>
      <c r="N76" s="8">
        <f t="shared" ref="N76:N83" si="87">SUM(AC76,AR76,BG76,BV76,CK76,CZ76,DO76,ED76)</f>
        <v>46393.687083431229</v>
      </c>
      <c r="O76" s="8">
        <f t="shared" si="84"/>
        <v>50768.634595325624</v>
      </c>
      <c r="P76" s="8">
        <f t="shared" si="85"/>
        <v>46906.895598236981</v>
      </c>
      <c r="R76" s="78">
        <f t="shared" si="71"/>
        <v>167.61590207964744</v>
      </c>
      <c r="S76" s="78">
        <f t="shared" si="71"/>
        <v>170.48643604151752</v>
      </c>
      <c r="T76" s="78">
        <f t="shared" si="71"/>
        <v>173.91671174228549</v>
      </c>
      <c r="U76" s="78">
        <f t="shared" si="71"/>
        <v>177.26426454889773</v>
      </c>
      <c r="V76" s="78">
        <f t="shared" si="71"/>
        <v>180.71881223657365</v>
      </c>
      <c r="W76" s="78">
        <f t="shared" si="71"/>
        <v>184.16939715087685</v>
      </c>
      <c r="X76" s="78">
        <f t="shared" si="71"/>
        <v>188.22579104453587</v>
      </c>
      <c r="Y76" s="78">
        <f t="shared" si="86"/>
        <v>191.55749275765717</v>
      </c>
      <c r="Z76" s="592">
        <v>287.46000000000004</v>
      </c>
      <c r="AA76" s="592">
        <v>176.62099999999998</v>
      </c>
      <c r="AB76" s="592">
        <v>194.673</v>
      </c>
      <c r="AC76" s="592">
        <v>182.40390000000002</v>
      </c>
      <c r="AD76" s="592">
        <v>131.22</v>
      </c>
      <c r="AE76" s="592">
        <v>245.48630000000003</v>
      </c>
      <c r="AG76" s="73">
        <f>('Basel data'!F270+'Basel data'!F224)/2</f>
        <v>9964.07</v>
      </c>
      <c r="AH76" s="73">
        <f>('Basel data'!F224+'Basel data'!F178)/2</f>
        <v>8169.65</v>
      </c>
      <c r="AI76" s="73">
        <f>('Basel data'!F178+'Basel data'!F132)/2</f>
        <v>7301.4150000000009</v>
      </c>
      <c r="AJ76" s="73">
        <f>('Basel data'!F132+'Basel data'!F86)/2</f>
        <v>12186.764999999999</v>
      </c>
      <c r="AK76" s="8">
        <v>151.11821999999995</v>
      </c>
      <c r="AL76" s="315">
        <v>334.11557299999868</v>
      </c>
      <c r="AM76" s="8">
        <v>306.30476999999934</v>
      </c>
      <c r="AN76" s="319">
        <v>22791</v>
      </c>
      <c r="AO76" s="312">
        <v>22203.371258694606</v>
      </c>
      <c r="AP76" s="78">
        <f>AQ76/AQ8*AP8</f>
        <v>12210.568194079808</v>
      </c>
      <c r="AQ76" s="8">
        <v>12395.572058287977</v>
      </c>
      <c r="AR76" s="312">
        <v>12569.725175455047</v>
      </c>
      <c r="AS76" s="312">
        <v>9846.1986120595302</v>
      </c>
      <c r="AT76" s="312">
        <v>10222.645800395605</v>
      </c>
      <c r="AV76" s="78">
        <f t="shared" si="72"/>
        <v>237.14737857337846</v>
      </c>
      <c r="AW76" s="78">
        <f t="shared" si="72"/>
        <v>243.42811107387183</v>
      </c>
      <c r="AX76" s="78">
        <f t="shared" si="72"/>
        <v>250.06732517530585</v>
      </c>
      <c r="AY76" s="78">
        <f t="shared" si="72"/>
        <v>255.97496710679513</v>
      </c>
      <c r="AZ76" s="78">
        <f t="shared" si="72"/>
        <v>258.80236431045256</v>
      </c>
      <c r="BA76" s="78">
        <f t="shared" si="72"/>
        <v>261.56458304121168</v>
      </c>
      <c r="BB76" s="78">
        <f t="shared" si="72"/>
        <v>269.06909755870942</v>
      </c>
      <c r="BC76" s="78">
        <f t="shared" ref="BC76:BC83" si="88">AVERAGE(BD76:BH76)*BC$8/BD$8</f>
        <v>273.15174224904621</v>
      </c>
      <c r="BD76" s="592">
        <v>76.19489999999999</v>
      </c>
      <c r="BE76" s="592">
        <v>77.519499999999994</v>
      </c>
      <c r="BF76" s="592">
        <v>98</v>
      </c>
      <c r="BG76" s="592">
        <v>81.005799999999994</v>
      </c>
      <c r="BH76" s="592">
        <v>1033.96</v>
      </c>
      <c r="BI76" s="592">
        <v>1190.3</v>
      </c>
      <c r="BK76" s="8">
        <v>20672.239000000001</v>
      </c>
      <c r="BL76" s="8">
        <v>38866.005000000005</v>
      </c>
      <c r="BM76" s="8">
        <v>11915.491</v>
      </c>
      <c r="BN76" s="8">
        <v>16201.307000000001</v>
      </c>
      <c r="BO76" s="8">
        <v>14292.668</v>
      </c>
      <c r="BP76" s="8">
        <v>22902.48</v>
      </c>
      <c r="BQ76" s="8">
        <v>23941.746999999999</v>
      </c>
      <c r="BR76" s="8">
        <v>19580.214121001598</v>
      </c>
      <c r="BS76" s="407">
        <v>41492.666632000008</v>
      </c>
      <c r="BT76" s="407">
        <v>15449.881759000376</v>
      </c>
      <c r="BU76" s="408">
        <f t="shared" ref="BU76:BU83" si="89">(BV76+BT76)/2</f>
        <v>15725.757829988272</v>
      </c>
      <c r="BV76" s="701">
        <v>16001.633900976167</v>
      </c>
      <c r="BW76" s="702">
        <v>17443.920027866116</v>
      </c>
      <c r="BX76" s="724">
        <v>11325.845624001407</v>
      </c>
      <c r="BZ76" s="315">
        <v>12495.95</v>
      </c>
      <c r="CA76" s="315">
        <v>13508.02</v>
      </c>
      <c r="CB76" s="315">
        <v>14781.43</v>
      </c>
      <c r="CC76" s="315">
        <v>15334.18</v>
      </c>
      <c r="CD76" s="315">
        <v>15475.57</v>
      </c>
      <c r="CE76" s="315">
        <v>16829.600000000002</v>
      </c>
      <c r="CF76" s="315">
        <v>16222.29</v>
      </c>
      <c r="CG76" s="315">
        <v>5732.44</v>
      </c>
      <c r="CH76" s="8">
        <v>6272.7296947843734</v>
      </c>
      <c r="CI76" s="313">
        <f>14584.343664-3322</f>
        <v>11262.343664</v>
      </c>
      <c r="CJ76" s="1">
        <v>8928.2058969999671</v>
      </c>
      <c r="CK76" s="1">
        <v>4490.3535899999661</v>
      </c>
      <c r="CL76" s="1">
        <v>4577.7138739999582</v>
      </c>
      <c r="CM76" s="1">
        <v>5063.0712305599227</v>
      </c>
      <c r="CO76" s="78">
        <f t="shared" si="73"/>
        <v>20.415044953083143</v>
      </c>
      <c r="CP76" s="78">
        <f t="shared" si="73"/>
        <v>20.595431187951338</v>
      </c>
      <c r="CQ76" s="78">
        <f t="shared" si="73"/>
        <v>20.841151879979943</v>
      </c>
      <c r="CR76" s="78">
        <f t="shared" si="73"/>
        <v>21.035826133451557</v>
      </c>
      <c r="CS76" s="78">
        <f t="shared" si="73"/>
        <v>21.191914429706372</v>
      </c>
      <c r="CT76" s="78">
        <f t="shared" si="73"/>
        <v>21.259242563881212</v>
      </c>
      <c r="CU76" s="78">
        <f t="shared" si="73"/>
        <v>21.269833973020383</v>
      </c>
      <c r="CV76" s="78">
        <f t="shared" ref="CV76:CV83" si="90">AVERAGE(CW76:DA76)*CV$8/CW$8</f>
        <v>21.317516081615516</v>
      </c>
      <c r="CW76" s="592">
        <v>3.6</v>
      </c>
      <c r="CX76" s="592">
        <v>23.049999999999997</v>
      </c>
      <c r="CY76" s="592">
        <v>25</v>
      </c>
      <c r="CZ76" s="592">
        <v>17.45</v>
      </c>
      <c r="DA76" s="592">
        <v>37.71</v>
      </c>
      <c r="DB76" s="592">
        <v>45.68</v>
      </c>
      <c r="DD76" s="8">
        <v>12013.123000000063</v>
      </c>
      <c r="DE76" s="8">
        <v>12283.718000000055</v>
      </c>
      <c r="DF76" s="8">
        <v>12802.221000000021</v>
      </c>
      <c r="DG76" s="8">
        <v>11807.581000000011</v>
      </c>
      <c r="DH76" s="8">
        <v>11675.636000000093</v>
      </c>
      <c r="DI76" s="8">
        <v>13065.664000000006</v>
      </c>
      <c r="DJ76" s="8">
        <v>15590.110000000184</v>
      </c>
      <c r="DK76" s="8">
        <v>9625.0370000002258</v>
      </c>
      <c r="DL76" s="8">
        <v>11328.084500000061</v>
      </c>
      <c r="DM76" s="8">
        <v>12898.416000000338</v>
      </c>
      <c r="DN76" s="1">
        <v>11961.151004288497</v>
      </c>
      <c r="DO76" s="1">
        <v>10275.750000000093</v>
      </c>
      <c r="DP76" s="1">
        <v>14944.52813140002</v>
      </c>
      <c r="DQ76" s="394">
        <v>15748.53051280004</v>
      </c>
      <c r="DS76" s="8">
        <v>1766.5562395500001</v>
      </c>
      <c r="DT76" s="8">
        <v>2100.4552461600001</v>
      </c>
      <c r="DU76" s="8">
        <v>2110.9636676200003</v>
      </c>
      <c r="DV76" s="8">
        <v>2145.2017457299999</v>
      </c>
      <c r="DW76" s="8">
        <v>2273.8371416</v>
      </c>
      <c r="DX76" s="8">
        <v>2584.5624250200003</v>
      </c>
      <c r="DY76" s="8">
        <v>3175.0875505000017</v>
      </c>
      <c r="DZ76" s="8">
        <v>2715.298186418001</v>
      </c>
      <c r="EA76" s="8">
        <v>2878.7464909999994</v>
      </c>
      <c r="EB76" s="8">
        <v>2816.1333540000005</v>
      </c>
      <c r="EC76" s="281">
        <v>2728.4497516320512</v>
      </c>
      <c r="ED76" s="394">
        <v>2775.3647169999499</v>
      </c>
      <c r="EE76" s="393">
        <v>2753.3839500000004</v>
      </c>
      <c r="EF76" s="393">
        <v>3065.3361304800032</v>
      </c>
      <c r="EH76" s="65"/>
      <c r="EI76" s="65"/>
      <c r="EJ76" s="65"/>
      <c r="EK76" s="65"/>
      <c r="EL76" s="65"/>
      <c r="EM76" s="65"/>
      <c r="EN76" s="65"/>
      <c r="EO76" s="65"/>
      <c r="EP76" s="65"/>
      <c r="EQ76" s="65"/>
      <c r="ER76" s="65"/>
      <c r="ES76" s="65"/>
      <c r="ET76" s="65"/>
    </row>
    <row r="77" spans="1:150" s="26" customFormat="1">
      <c r="A77" s="27" t="s">
        <v>52</v>
      </c>
      <c r="C77" s="8">
        <f t="shared" si="75"/>
        <v>1060.1696137347101</v>
      </c>
      <c r="D77" s="8">
        <f t="shared" si="76"/>
        <v>1464.503014199041</v>
      </c>
      <c r="E77" s="8">
        <f t="shared" si="77"/>
        <v>2673.8616225647752</v>
      </c>
      <c r="F77" s="8">
        <f t="shared" si="78"/>
        <v>2408.9796556430697</v>
      </c>
      <c r="G77" s="8">
        <f t="shared" si="79"/>
        <v>3070.068237623334</v>
      </c>
      <c r="H77" s="8">
        <f t="shared" si="80"/>
        <v>3445.3422601460575</v>
      </c>
      <c r="I77" s="8">
        <f t="shared" si="81"/>
        <v>3560.4036851737592</v>
      </c>
      <c r="J77" s="8">
        <f t="shared" si="82"/>
        <v>2165.1723737013849</v>
      </c>
      <c r="K77" s="8">
        <f t="shared" si="83"/>
        <v>3100.3959250405064</v>
      </c>
      <c r="L77" s="8">
        <f t="shared" si="68"/>
        <v>2546.222965840901</v>
      </c>
      <c r="M77" s="8">
        <f t="shared" si="52"/>
        <v>1882.4954963061778</v>
      </c>
      <c r="N77" s="8">
        <f t="shared" si="87"/>
        <v>1785.9220249711477</v>
      </c>
      <c r="O77" s="8">
        <f t="shared" si="84"/>
        <v>2639.2262267257511</v>
      </c>
      <c r="P77" s="8">
        <f t="shared" si="85"/>
        <v>2535.8652117665561</v>
      </c>
      <c r="R77" s="78">
        <f t="shared" si="71"/>
        <v>29.524960742221811</v>
      </c>
      <c r="S77" s="78">
        <f t="shared" si="71"/>
        <v>30.030595359712674</v>
      </c>
      <c r="T77" s="78">
        <f t="shared" si="71"/>
        <v>30.63482654627423</v>
      </c>
      <c r="U77" s="78">
        <f t="shared" si="71"/>
        <v>31.224486381477551</v>
      </c>
      <c r="V77" s="78">
        <f t="shared" si="71"/>
        <v>31.83299299448554</v>
      </c>
      <c r="W77" s="78">
        <f t="shared" si="71"/>
        <v>32.440801578685942</v>
      </c>
      <c r="X77" s="78">
        <f t="shared" si="71"/>
        <v>33.155321316845161</v>
      </c>
      <c r="Y77" s="78">
        <f t="shared" si="86"/>
        <v>33.742189036818168</v>
      </c>
      <c r="Z77" s="592">
        <v>156</v>
      </c>
      <c r="AA77" s="592">
        <v>2.536</v>
      </c>
      <c r="AB77" s="592">
        <v>11.745000000000001</v>
      </c>
      <c r="AC77" s="592">
        <v>0</v>
      </c>
      <c r="AD77" s="592">
        <v>1</v>
      </c>
      <c r="AE77" s="592">
        <v>19.888000000000002</v>
      </c>
      <c r="AG77" s="78">
        <f t="shared" ref="AG77:AJ77" si="91">AH77*AG$8/AH$8</f>
        <v>39.710649819614275</v>
      </c>
      <c r="AH77" s="78">
        <f t="shared" si="91"/>
        <v>40.282315209492758</v>
      </c>
      <c r="AI77" s="78">
        <f t="shared" si="91"/>
        <v>40.972407534640872</v>
      </c>
      <c r="AJ77" s="78">
        <f t="shared" si="91"/>
        <v>41.555951898656978</v>
      </c>
      <c r="AK77" s="8">
        <v>42.014650000000017</v>
      </c>
      <c r="AL77" s="315">
        <v>101.19550000000001</v>
      </c>
      <c r="AM77" s="8">
        <v>64.439000000000007</v>
      </c>
      <c r="AN77" s="315">
        <v>112.51950000000001</v>
      </c>
      <c r="AO77" s="312">
        <v>1500.2122140405072</v>
      </c>
      <c r="AP77" s="8">
        <f>AQ77/AQ8*AP8</f>
        <v>366.78781534093247</v>
      </c>
      <c r="AQ77" s="8">
        <v>372.34506395573851</v>
      </c>
      <c r="AR77" s="312">
        <v>377.73290670763242</v>
      </c>
      <c r="AS77" s="312">
        <v>410.26141861519795</v>
      </c>
      <c r="AT77" s="312">
        <v>504.90094380843345</v>
      </c>
      <c r="AV77" s="78">
        <f t="shared" si="72"/>
        <v>21.795594849361922</v>
      </c>
      <c r="AW77" s="78">
        <f t="shared" si="72"/>
        <v>22.372840534140245</v>
      </c>
      <c r="AX77" s="78">
        <f t="shared" si="72"/>
        <v>22.983033324562559</v>
      </c>
      <c r="AY77" s="78">
        <f t="shared" si="72"/>
        <v>23.525989231680043</v>
      </c>
      <c r="AZ77" s="78">
        <f t="shared" si="72"/>
        <v>23.785847908169981</v>
      </c>
      <c r="BA77" s="78">
        <f t="shared" si="72"/>
        <v>24.039716201815551</v>
      </c>
      <c r="BB77" s="78">
        <f t="shared" si="72"/>
        <v>24.729436488619921</v>
      </c>
      <c r="BC77" s="78">
        <f t="shared" si="88"/>
        <v>25.104661676095255</v>
      </c>
      <c r="BD77" s="592">
        <v>0</v>
      </c>
      <c r="BE77" s="592">
        <v>0.55600000000000005</v>
      </c>
      <c r="BF77" s="592">
        <v>100.05200000000001</v>
      </c>
      <c r="BG77" s="592">
        <v>0</v>
      </c>
      <c r="BH77" s="592">
        <v>25</v>
      </c>
      <c r="BI77" s="592">
        <v>26</v>
      </c>
      <c r="BK77" s="8">
        <v>183.99799999999999</v>
      </c>
      <c r="BL77" s="8">
        <v>419.87799999999999</v>
      </c>
      <c r="BM77" s="8">
        <v>1712.56</v>
      </c>
      <c r="BN77" s="8">
        <v>1164.212</v>
      </c>
      <c r="BO77" s="8">
        <v>1304.066</v>
      </c>
      <c r="BP77" s="8">
        <v>1071.2460000000001</v>
      </c>
      <c r="BQ77" s="8">
        <v>1219.702</v>
      </c>
      <c r="BR77" s="8">
        <v>694.56599999999969</v>
      </c>
      <c r="BS77" s="407">
        <v>335.03899999999999</v>
      </c>
      <c r="BT77" s="407">
        <v>474.46850000000006</v>
      </c>
      <c r="BU77" s="408">
        <f t="shared" si="89"/>
        <v>482.53646538176037</v>
      </c>
      <c r="BV77" s="701">
        <v>490.60443076352067</v>
      </c>
      <c r="BW77" s="702">
        <v>535.69970461055311</v>
      </c>
      <c r="BX77" s="724">
        <v>554.10377295812418</v>
      </c>
      <c r="BZ77" s="315">
        <v>279.92999999999995</v>
      </c>
      <c r="CA77" s="315">
        <v>366.93</v>
      </c>
      <c r="CB77" s="315">
        <v>173.73000000000002</v>
      </c>
      <c r="CC77" s="315">
        <v>172.13000000000002</v>
      </c>
      <c r="CD77" s="315">
        <v>333.52</v>
      </c>
      <c r="CE77" s="315">
        <v>645.47</v>
      </c>
      <c r="CF77" s="315">
        <v>708.89</v>
      </c>
      <c r="CG77" s="315">
        <v>563.42999999999995</v>
      </c>
      <c r="CH77" s="8">
        <v>502.17321100000004</v>
      </c>
      <c r="CI77" s="8">
        <v>74.618150499999999</v>
      </c>
      <c r="CJ77" s="1">
        <v>48.743102999999984</v>
      </c>
      <c r="CK77" s="1">
        <v>126.21143750000002</v>
      </c>
      <c r="CL77" s="1">
        <v>28.102978499999992</v>
      </c>
      <c r="CM77" s="1">
        <v>68.819944999999976</v>
      </c>
      <c r="CO77" s="78">
        <f t="shared" si="73"/>
        <v>12.885408323514435</v>
      </c>
      <c r="CP77" s="78">
        <f t="shared" si="73"/>
        <v>12.99926309569641</v>
      </c>
      <c r="CQ77" s="78">
        <f t="shared" si="73"/>
        <v>13.15435515929958</v>
      </c>
      <c r="CR77" s="78">
        <f t="shared" si="73"/>
        <v>13.277228131258344</v>
      </c>
      <c r="CS77" s="78">
        <f t="shared" si="73"/>
        <v>13.375746720680368</v>
      </c>
      <c r="CT77" s="78">
        <f t="shared" si="73"/>
        <v>13.418242365558788</v>
      </c>
      <c r="CU77" s="78">
        <f t="shared" si="73"/>
        <v>13.424927368300306</v>
      </c>
      <c r="CV77" s="78">
        <f t="shared" si="90"/>
        <v>13.455022988485638</v>
      </c>
      <c r="CW77" s="592">
        <v>12.774999999999999</v>
      </c>
      <c r="CX77" s="592">
        <v>12.505500000000001</v>
      </c>
      <c r="CY77" s="592">
        <v>4.9750000000000005</v>
      </c>
      <c r="CZ77" s="592">
        <v>15.330000000000002</v>
      </c>
      <c r="DA77" s="592">
        <v>21.83</v>
      </c>
      <c r="DB77" s="592">
        <v>7.53</v>
      </c>
      <c r="DD77" s="8">
        <v>492.32499999999777</v>
      </c>
      <c r="DE77" s="8">
        <v>572.00999999999908</v>
      </c>
      <c r="DF77" s="8">
        <v>679.82699999999818</v>
      </c>
      <c r="DG77" s="8">
        <v>963.05399999999668</v>
      </c>
      <c r="DH77" s="8">
        <v>1321.4729999999981</v>
      </c>
      <c r="DI77" s="8">
        <v>1557.531999999997</v>
      </c>
      <c r="DJ77" s="8">
        <v>1496.062999999994</v>
      </c>
      <c r="DK77" s="8">
        <v>722.35499999998615</v>
      </c>
      <c r="DL77" s="8">
        <v>546.4999999999992</v>
      </c>
      <c r="DM77" s="8">
        <v>1545.4099999999689</v>
      </c>
      <c r="DN77" s="1">
        <v>822.8423639686788</v>
      </c>
      <c r="DO77" s="1">
        <v>734.98999999999467</v>
      </c>
      <c r="DP77" s="1">
        <v>1610.1681249999997</v>
      </c>
      <c r="DQ77" s="394">
        <v>1294.3285499999988</v>
      </c>
      <c r="DS77" s="8">
        <v>0</v>
      </c>
      <c r="DT77" s="8">
        <v>0</v>
      </c>
      <c r="DU77" s="8">
        <v>0</v>
      </c>
      <c r="DV77" s="8">
        <v>0</v>
      </c>
      <c r="DW77" s="8">
        <v>0</v>
      </c>
      <c r="DX77" s="8">
        <v>0</v>
      </c>
      <c r="DY77" s="8">
        <v>0</v>
      </c>
      <c r="DZ77" s="8">
        <v>0</v>
      </c>
      <c r="EA77" s="8">
        <v>47.6965</v>
      </c>
      <c r="EB77" s="8">
        <v>69.341000000000008</v>
      </c>
      <c r="EC77" s="281">
        <v>39.256499999999996</v>
      </c>
      <c r="ED77" s="394">
        <v>41.053250000000006</v>
      </c>
      <c r="EE77" s="393">
        <v>7.1639999999999997</v>
      </c>
      <c r="EF77" s="393">
        <v>60.293999999999997</v>
      </c>
      <c r="EH77" s="65"/>
      <c r="EI77" s="65"/>
      <c r="EJ77" s="65"/>
      <c r="EK77" s="65"/>
      <c r="EL77" s="65"/>
      <c r="EM77" s="65"/>
      <c r="EN77" s="65"/>
      <c r="EO77" s="65"/>
      <c r="EP77" s="65"/>
      <c r="EQ77" s="65"/>
      <c r="ER77" s="65"/>
      <c r="ES77" s="65"/>
      <c r="ET77" s="65"/>
    </row>
    <row r="78" spans="1:150" s="26" customFormat="1">
      <c r="A78" s="27" t="s">
        <v>53</v>
      </c>
      <c r="C78" s="8">
        <f t="shared" si="75"/>
        <v>3152.7733992912922</v>
      </c>
      <c r="D78" s="8">
        <f t="shared" si="76"/>
        <v>2011.5855944275925</v>
      </c>
      <c r="E78" s="8">
        <f t="shared" si="77"/>
        <v>1299.0139344336183</v>
      </c>
      <c r="F78" s="8">
        <f t="shared" si="78"/>
        <v>1024.2372357365721</v>
      </c>
      <c r="G78" s="8">
        <f t="shared" si="79"/>
        <v>918.6428677488824</v>
      </c>
      <c r="H78" s="8">
        <f t="shared" si="80"/>
        <v>944.56263777827053</v>
      </c>
      <c r="I78" s="8">
        <f t="shared" si="81"/>
        <v>1087.5401022880912</v>
      </c>
      <c r="J78" s="8">
        <f t="shared" si="82"/>
        <v>1280.7002146893515</v>
      </c>
      <c r="K78" s="8">
        <f t="shared" si="83"/>
        <v>1527.807106</v>
      </c>
      <c r="L78" s="8">
        <f t="shared" si="68"/>
        <v>1705.050252</v>
      </c>
      <c r="M78" s="8">
        <f t="shared" si="52"/>
        <v>2025.0288562804662</v>
      </c>
      <c r="N78" s="8">
        <f t="shared" si="87"/>
        <v>1570.7091045609329</v>
      </c>
      <c r="O78" s="8">
        <f t="shared" si="84"/>
        <v>1523.151601224228</v>
      </c>
      <c r="P78" s="8">
        <f t="shared" si="85"/>
        <v>1581.8876184631742</v>
      </c>
      <c r="R78" s="78">
        <f t="shared" si="71"/>
        <v>2.4822334916773854</v>
      </c>
      <c r="S78" s="78">
        <f t="shared" si="71"/>
        <v>2.5247433934870922</v>
      </c>
      <c r="T78" s="78">
        <f t="shared" si="71"/>
        <v>2.5755425427592615</v>
      </c>
      <c r="U78" s="78">
        <f t="shared" si="71"/>
        <v>2.6251166439551197</v>
      </c>
      <c r="V78" s="78">
        <f t="shared" si="71"/>
        <v>2.6762752384712369</v>
      </c>
      <c r="W78" s="78">
        <f t="shared" si="71"/>
        <v>2.7273751480495663</v>
      </c>
      <c r="X78" s="78">
        <f t="shared" si="71"/>
        <v>2.7874465174921355</v>
      </c>
      <c r="Y78" s="78">
        <f t="shared" si="86"/>
        <v>2.8367858789368445</v>
      </c>
      <c r="Z78" s="592">
        <v>0</v>
      </c>
      <c r="AA78" s="592">
        <v>14.4</v>
      </c>
      <c r="AB78" s="592">
        <v>0</v>
      </c>
      <c r="AC78" s="592">
        <v>0</v>
      </c>
      <c r="AD78" s="592">
        <v>0</v>
      </c>
      <c r="AE78" s="592">
        <v>0</v>
      </c>
      <c r="AG78" s="73">
        <f>('Basel data'!F271+'Basel data'!F225)/2</f>
        <v>1384.7833681818181</v>
      </c>
      <c r="AH78" s="73">
        <f>('Basel data'!F225+'Basel data'!F179)/2</f>
        <v>760.63690750000001</v>
      </c>
      <c r="AI78" s="73">
        <f>('Basel data'!F179+'Basel data'!F133)/2</f>
        <v>374.72940749999998</v>
      </c>
      <c r="AJ78" s="73">
        <f>('Basel data'!F133+'Basel data'!F87)/2</f>
        <v>330.22249999999997</v>
      </c>
      <c r="AK78" s="8">
        <v>142.7046</v>
      </c>
      <c r="AL78" s="315">
        <v>294.37459999999999</v>
      </c>
      <c r="AM78" s="8">
        <v>258.57099999999991</v>
      </c>
      <c r="AN78" s="315">
        <v>461.05680000000012</v>
      </c>
      <c r="AO78" s="282">
        <v>127.90300000000001</v>
      </c>
      <c r="AP78" s="8">
        <v>279.4773899999999</v>
      </c>
      <c r="AQ78" s="1">
        <v>507.38103000000007</v>
      </c>
      <c r="AR78" s="282">
        <v>322.63666899999998</v>
      </c>
      <c r="AS78" s="282">
        <v>365.95937999999995</v>
      </c>
      <c r="AT78" s="282">
        <v>243.79871000000003</v>
      </c>
      <c r="AV78" s="78">
        <f t="shared" si="72"/>
        <v>0</v>
      </c>
      <c r="AW78" s="78">
        <f t="shared" si="72"/>
        <v>0</v>
      </c>
      <c r="AX78" s="78">
        <f t="shared" si="72"/>
        <v>0</v>
      </c>
      <c r="AY78" s="78">
        <f t="shared" si="72"/>
        <v>0</v>
      </c>
      <c r="AZ78" s="78">
        <f t="shared" si="72"/>
        <v>0</v>
      </c>
      <c r="BA78" s="78">
        <f t="shared" si="72"/>
        <v>0</v>
      </c>
      <c r="BB78" s="78">
        <f t="shared" si="72"/>
        <v>0</v>
      </c>
      <c r="BC78" s="78">
        <f t="shared" si="88"/>
        <v>0</v>
      </c>
      <c r="BD78" s="592">
        <v>0</v>
      </c>
      <c r="BE78" s="592">
        <v>0</v>
      </c>
      <c r="BF78" s="592">
        <v>0</v>
      </c>
      <c r="BG78" s="592">
        <v>0</v>
      </c>
      <c r="BH78" s="592">
        <v>0</v>
      </c>
      <c r="BI78" s="721">
        <v>0</v>
      </c>
      <c r="BK78" s="8">
        <v>869.55200000000002</v>
      </c>
      <c r="BL78" s="8">
        <v>440.803</v>
      </c>
      <c r="BM78" s="8">
        <v>176.626</v>
      </c>
      <c r="BN78" s="8">
        <v>93.512</v>
      </c>
      <c r="BO78" s="8">
        <v>196.14699999999999</v>
      </c>
      <c r="BP78" s="8">
        <v>115.497</v>
      </c>
      <c r="BQ78" s="8">
        <v>44.067</v>
      </c>
      <c r="BR78" s="8">
        <v>80.324000000000012</v>
      </c>
      <c r="BS78" s="407">
        <v>928.17</v>
      </c>
      <c r="BT78" s="407">
        <v>743.23099999999999</v>
      </c>
      <c r="BU78" s="408">
        <f t="shared" si="89"/>
        <v>755.86906128046644</v>
      </c>
      <c r="BV78" s="701">
        <v>768.507122560933</v>
      </c>
      <c r="BW78" s="702">
        <v>806.88020022422802</v>
      </c>
      <c r="BX78" s="724">
        <v>819.39296346317428</v>
      </c>
      <c r="BZ78" s="315">
        <v>3.8099999999999996</v>
      </c>
      <c r="CA78" s="315">
        <v>8.18</v>
      </c>
      <c r="CB78" s="315">
        <v>7</v>
      </c>
      <c r="CC78" s="315">
        <v>4.7</v>
      </c>
      <c r="CD78" s="315">
        <v>0.99</v>
      </c>
      <c r="CE78" s="315">
        <v>3.41</v>
      </c>
      <c r="CF78" s="315">
        <v>6.22</v>
      </c>
      <c r="CG78" s="315">
        <v>7.5100000000000007</v>
      </c>
      <c r="CH78" s="8">
        <v>14.521106</v>
      </c>
      <c r="CI78" s="8">
        <v>27.84186200000001</v>
      </c>
      <c r="CJ78" s="1">
        <v>116.66476499999999</v>
      </c>
      <c r="CK78" s="1">
        <v>104.31881300000001</v>
      </c>
      <c r="CL78" s="1">
        <v>32.812721000000003</v>
      </c>
      <c r="CM78" s="1">
        <v>20.367745000000003</v>
      </c>
      <c r="CO78" s="78">
        <f t="shared" si="73"/>
        <v>3.8417976177976882</v>
      </c>
      <c r="CP78" s="78">
        <f t="shared" si="73"/>
        <v>3.875743534105625</v>
      </c>
      <c r="CQ78" s="78">
        <f t="shared" si="73"/>
        <v>3.9219843908585035</v>
      </c>
      <c r="CR78" s="78">
        <f t="shared" si="73"/>
        <v>3.9586190926165732</v>
      </c>
      <c r="CS78" s="78">
        <f t="shared" si="73"/>
        <v>3.9879925104119271</v>
      </c>
      <c r="CT78" s="78">
        <f t="shared" si="73"/>
        <v>4.0006626302220045</v>
      </c>
      <c r="CU78" s="78">
        <f t="shared" si="73"/>
        <v>4.0026557705992847</v>
      </c>
      <c r="CV78" s="78">
        <f t="shared" si="90"/>
        <v>4.0116288104154281</v>
      </c>
      <c r="CW78" s="592">
        <v>5.0999999999999996</v>
      </c>
      <c r="CX78" s="592">
        <v>15</v>
      </c>
      <c r="CY78" s="592">
        <v>0</v>
      </c>
      <c r="CZ78" s="592">
        <v>0</v>
      </c>
      <c r="DA78" s="592">
        <v>0</v>
      </c>
      <c r="DB78" s="592">
        <v>0</v>
      </c>
      <c r="DD78" s="8">
        <v>879.26399999999921</v>
      </c>
      <c r="DE78" s="8">
        <v>776.55299999999977</v>
      </c>
      <c r="DF78" s="8">
        <v>734.16100000000051</v>
      </c>
      <c r="DG78" s="8">
        <v>589.21900000000039</v>
      </c>
      <c r="DH78" s="8">
        <v>572.13699999999926</v>
      </c>
      <c r="DI78" s="8">
        <v>524.55299999999897</v>
      </c>
      <c r="DJ78" s="8">
        <v>771.89199999999983</v>
      </c>
      <c r="DK78" s="8">
        <v>724.9609999999991</v>
      </c>
      <c r="DL78" s="8">
        <v>395.20100000000019</v>
      </c>
      <c r="DM78" s="8">
        <v>600.05300000000011</v>
      </c>
      <c r="DN78" s="1">
        <v>641.0139999999999</v>
      </c>
      <c r="DO78" s="1">
        <v>373.80649999999974</v>
      </c>
      <c r="DP78" s="1">
        <v>317.49929999999995</v>
      </c>
      <c r="DQ78" s="394">
        <v>498.32819999999992</v>
      </c>
      <c r="DS78" s="8">
        <v>9.0399999999999991</v>
      </c>
      <c r="DT78" s="8">
        <v>19.0122</v>
      </c>
      <c r="DU78" s="8">
        <v>0</v>
      </c>
      <c r="DV78" s="8">
        <v>0</v>
      </c>
      <c r="DW78" s="8">
        <v>0</v>
      </c>
      <c r="DX78" s="8">
        <v>0</v>
      </c>
      <c r="DY78" s="8">
        <v>0</v>
      </c>
      <c r="DZ78" s="8">
        <v>0</v>
      </c>
      <c r="EA78" s="8">
        <v>56.911999999999999</v>
      </c>
      <c r="EB78" s="8">
        <v>25.047000000000001</v>
      </c>
      <c r="EC78" s="281">
        <v>4.0999999999999996</v>
      </c>
      <c r="ED78" s="394">
        <v>1.44</v>
      </c>
      <c r="EE78" s="393">
        <v>0</v>
      </c>
      <c r="EF78" s="393">
        <v>0</v>
      </c>
      <c r="EH78" s="65"/>
      <c r="EI78" s="65"/>
      <c r="EJ78" s="65"/>
      <c r="EK78" s="65"/>
      <c r="EL78" s="65"/>
      <c r="EM78" s="65"/>
      <c r="EN78" s="65"/>
      <c r="EO78" s="65"/>
      <c r="EP78" s="65"/>
      <c r="EQ78" s="65"/>
      <c r="ER78" s="65"/>
      <c r="ES78" s="65"/>
      <c r="ET78" s="65"/>
    </row>
    <row r="79" spans="1:150" s="26" customFormat="1">
      <c r="A79" s="27" t="s">
        <v>54</v>
      </c>
      <c r="C79" s="8">
        <f t="shared" si="75"/>
        <v>2844.0243104743545</v>
      </c>
      <c r="D79" s="8">
        <f t="shared" si="76"/>
        <v>3915.1717656396459</v>
      </c>
      <c r="E79" s="8">
        <f t="shared" si="77"/>
        <v>3744.3964847103407</v>
      </c>
      <c r="F79" s="8">
        <f t="shared" si="78"/>
        <v>3857.4112382079757</v>
      </c>
      <c r="G79" s="8">
        <f t="shared" si="79"/>
        <v>4008.7394995921768</v>
      </c>
      <c r="H79" s="8">
        <f t="shared" si="80"/>
        <v>54725.788007894196</v>
      </c>
      <c r="I79" s="8">
        <f t="shared" si="81"/>
        <v>6241.2734205955649</v>
      </c>
      <c r="J79" s="8">
        <f t="shared" si="82"/>
        <v>6024.0256907356288</v>
      </c>
      <c r="K79" s="8">
        <f t="shared" si="83"/>
        <v>5308.4756409705014</v>
      </c>
      <c r="L79" s="8">
        <f t="shared" si="68"/>
        <v>5745.4276419999978</v>
      </c>
      <c r="M79" s="8">
        <f t="shared" si="52"/>
        <v>5316.99324450516</v>
      </c>
      <c r="N79" s="8">
        <f t="shared" si="87"/>
        <v>6286.8463276855173</v>
      </c>
      <c r="O79" s="8">
        <f t="shared" si="84"/>
        <v>6616.4392547456828</v>
      </c>
      <c r="P79" s="8">
        <f t="shared" si="85"/>
        <v>5867.7626368549163</v>
      </c>
      <c r="R79" s="78">
        <f t="shared" si="71"/>
        <v>43.832451161854806</v>
      </c>
      <c r="S79" s="78">
        <f t="shared" si="71"/>
        <v>44.583111082130912</v>
      </c>
      <c r="T79" s="78">
        <f t="shared" si="71"/>
        <v>45.48014644846603</v>
      </c>
      <c r="U79" s="78">
        <f t="shared" si="71"/>
        <v>46.355549337374732</v>
      </c>
      <c r="V79" s="78">
        <f t="shared" si="71"/>
        <v>47.258931957565508</v>
      </c>
      <c r="W79" s="78">
        <f t="shared" si="71"/>
        <v>48.161278291412494</v>
      </c>
      <c r="X79" s="78">
        <f t="shared" si="71"/>
        <v>49.222046900064953</v>
      </c>
      <c r="Y79" s="78">
        <f t="shared" si="86"/>
        <v>50.093304643598529</v>
      </c>
      <c r="Z79" s="592">
        <v>107.499</v>
      </c>
      <c r="AA79" s="592">
        <v>59.353000000000002</v>
      </c>
      <c r="AB79" s="592">
        <v>48.08</v>
      </c>
      <c r="AC79" s="592">
        <v>38.118499999999997</v>
      </c>
      <c r="AD79" s="592">
        <v>1.2314999999999998</v>
      </c>
      <c r="AE79" s="592">
        <v>29.85</v>
      </c>
      <c r="AG79" s="73">
        <f>('Basel data'!F283+'Basel data'!F237)/2</f>
        <v>1022.5962877272732</v>
      </c>
      <c r="AH79" s="73">
        <f>('Basel data'!F237+'Basel data'!F191)/2</f>
        <v>1272.8254810000001</v>
      </c>
      <c r="AI79" s="73">
        <f>('Basel data'!F191+'Basel data'!F145)/2</f>
        <v>1364.1848810000001</v>
      </c>
      <c r="AJ79" s="73">
        <f>('Basel data'!F145+'Basel data'!F99)/2</f>
        <v>1597.9244000000001</v>
      </c>
      <c r="AK79" s="8">
        <v>825.37823899999921</v>
      </c>
      <c r="AL79" s="315">
        <v>1975.0144399999995</v>
      </c>
      <c r="AM79" s="8">
        <v>2396.4904460000016</v>
      </c>
      <c r="AN79" s="315">
        <v>2544.2341469999974</v>
      </c>
      <c r="AO79" s="282">
        <v>3002.7862189999996</v>
      </c>
      <c r="AP79" s="8">
        <v>3726.0112269999995</v>
      </c>
      <c r="AQ79" s="1">
        <v>4017.0244200000025</v>
      </c>
      <c r="AR79" s="282">
        <v>5098.3610400000025</v>
      </c>
      <c r="AS79" s="282">
        <v>4273.8461559999932</v>
      </c>
      <c r="AT79" s="282">
        <v>3554.7470090000043</v>
      </c>
      <c r="AV79" s="78">
        <f t="shared" si="72"/>
        <v>23.266183238225242</v>
      </c>
      <c r="AW79" s="78">
        <f t="shared" si="72"/>
        <v>23.882376738258131</v>
      </c>
      <c r="AX79" s="78">
        <f t="shared" si="72"/>
        <v>24.533740345020398</v>
      </c>
      <c r="AY79" s="78">
        <f t="shared" si="72"/>
        <v>25.113330473786345</v>
      </c>
      <c r="AZ79" s="78">
        <f t="shared" si="72"/>
        <v>25.390722287363509</v>
      </c>
      <c r="BA79" s="78">
        <f t="shared" si="72"/>
        <v>25.661719536080781</v>
      </c>
      <c r="BB79" s="78">
        <f t="shared" si="72"/>
        <v>26.397976503913963</v>
      </c>
      <c r="BC79" s="78">
        <f t="shared" si="88"/>
        <v>26.798518816603082</v>
      </c>
      <c r="BD79" s="592">
        <v>26.24</v>
      </c>
      <c r="BE79" s="592">
        <v>7.5629999999999997</v>
      </c>
      <c r="BF79" s="592">
        <v>100</v>
      </c>
      <c r="BG79" s="592">
        <v>0</v>
      </c>
      <c r="BH79" s="592">
        <v>0.28000000000000003</v>
      </c>
      <c r="BI79" s="592">
        <v>4.4000000000000004</v>
      </c>
      <c r="BK79" s="8">
        <v>638.96500000000003</v>
      </c>
      <c r="BL79" s="8">
        <v>1347.8229999999999</v>
      </c>
      <c r="BM79" s="8">
        <v>465.77100000000002</v>
      </c>
      <c r="BN79" s="8">
        <v>454.13799999999998</v>
      </c>
      <c r="BO79" s="8">
        <v>640.803</v>
      </c>
      <c r="BP79" s="8">
        <v>448.53399999999999</v>
      </c>
      <c r="BQ79" s="8">
        <v>1012.777</v>
      </c>
      <c r="BR79" s="8">
        <v>767.10199999999998</v>
      </c>
      <c r="BS79" s="407">
        <v>1060.53072</v>
      </c>
      <c r="BT79" s="407">
        <v>499.87950000000012</v>
      </c>
      <c r="BU79" s="408">
        <f t="shared" si="89"/>
        <v>513.65872184275781</v>
      </c>
      <c r="BV79" s="701">
        <v>527.43794368551539</v>
      </c>
      <c r="BW79" s="702">
        <v>793.66137374568962</v>
      </c>
      <c r="BX79" s="724">
        <v>826.98998285491132</v>
      </c>
      <c r="BZ79" s="315">
        <v>519.80999999999995</v>
      </c>
      <c r="CA79" s="315">
        <v>605.78</v>
      </c>
      <c r="CB79" s="315">
        <v>977.7299999999999</v>
      </c>
      <c r="CC79" s="315">
        <v>857.26</v>
      </c>
      <c r="CD79" s="315">
        <v>1183.0400000000002</v>
      </c>
      <c r="CE79" s="315">
        <v>50997.16</v>
      </c>
      <c r="CF79" s="315">
        <v>662.81000000000006</v>
      </c>
      <c r="CG79" s="315">
        <v>358.22</v>
      </c>
      <c r="CH79" s="8">
        <v>423.20640197050182</v>
      </c>
      <c r="CI79" s="8">
        <v>186.70471499999999</v>
      </c>
      <c r="CJ79" s="1">
        <v>234.20169400000006</v>
      </c>
      <c r="CK79" s="1">
        <v>337.37888400000003</v>
      </c>
      <c r="CL79" s="1">
        <v>476.90226999999999</v>
      </c>
      <c r="CM79" s="1">
        <v>223.86003500000004</v>
      </c>
      <c r="CO79" s="78">
        <f t="shared" si="73"/>
        <v>30.986888347002033</v>
      </c>
      <c r="CP79" s="78">
        <f t="shared" si="73"/>
        <v>31.260686819258282</v>
      </c>
      <c r="CQ79" s="78">
        <f t="shared" si="73"/>
        <v>31.633652916856249</v>
      </c>
      <c r="CR79" s="78">
        <f t="shared" si="73"/>
        <v>31.929138396815965</v>
      </c>
      <c r="CS79" s="78">
        <f t="shared" si="73"/>
        <v>32.166056347250908</v>
      </c>
      <c r="CT79" s="78">
        <f t="shared" si="73"/>
        <v>32.268250066690783</v>
      </c>
      <c r="CU79" s="78">
        <f t="shared" si="73"/>
        <v>32.284326191587255</v>
      </c>
      <c r="CV79" s="78">
        <f t="shared" si="90"/>
        <v>32.356700275434861</v>
      </c>
      <c r="CW79" s="592">
        <v>17.301100000000002</v>
      </c>
      <c r="CX79" s="592">
        <v>4</v>
      </c>
      <c r="CY79" s="592">
        <v>24.25</v>
      </c>
      <c r="CZ79" s="592">
        <v>49.6</v>
      </c>
      <c r="DA79" s="592">
        <v>66.97</v>
      </c>
      <c r="DB79" s="592">
        <v>41</v>
      </c>
      <c r="DD79" s="8">
        <v>557.91299999999887</v>
      </c>
      <c r="DE79" s="8">
        <v>535.81099999999844</v>
      </c>
      <c r="DF79" s="8">
        <v>793.80299999999818</v>
      </c>
      <c r="DG79" s="8">
        <v>706.06299999999828</v>
      </c>
      <c r="DH79" s="8">
        <v>960.70199999999738</v>
      </c>
      <c r="DI79" s="8">
        <v>967.73499999999717</v>
      </c>
      <c r="DJ79" s="8">
        <v>1551.1969999999972</v>
      </c>
      <c r="DK79" s="8">
        <v>1271.8729999999957</v>
      </c>
      <c r="DL79" s="8">
        <v>117.86350000000002</v>
      </c>
      <c r="DM79" s="8">
        <v>1030.1009999999978</v>
      </c>
      <c r="DN79" s="1">
        <v>167.05066563690582</v>
      </c>
      <c r="DO79" s="1">
        <v>83.287000000000006</v>
      </c>
      <c r="DP79" s="1">
        <v>881.70402000000001</v>
      </c>
      <c r="DQ79" s="394">
        <v>1087.5902000000003</v>
      </c>
      <c r="DS79" s="8">
        <v>6.6544999999999996</v>
      </c>
      <c r="DT79" s="8">
        <v>53.206109999999995</v>
      </c>
      <c r="DU79" s="8">
        <v>41.260064</v>
      </c>
      <c r="DV79" s="8">
        <v>138.62781999999999</v>
      </c>
      <c r="DW79" s="8">
        <v>294.00055000000003</v>
      </c>
      <c r="DX79" s="8">
        <v>231.25331999999997</v>
      </c>
      <c r="DY79" s="8">
        <v>510.09462500000001</v>
      </c>
      <c r="DZ79" s="8">
        <v>973.34801999999979</v>
      </c>
      <c r="EA79" s="8">
        <v>553.04870000000005</v>
      </c>
      <c r="EB79" s="8">
        <v>231.8152</v>
      </c>
      <c r="EC79" s="281">
        <v>212.72774302549328</v>
      </c>
      <c r="ED79" s="394">
        <v>152.66296</v>
      </c>
      <c r="EE79" s="393">
        <v>121.84393499999999</v>
      </c>
      <c r="EF79" s="393">
        <v>99.325410000000005</v>
      </c>
      <c r="EH79" s="65"/>
      <c r="EI79" s="65"/>
      <c r="EJ79" s="65"/>
      <c r="EK79" s="65"/>
      <c r="EL79" s="65"/>
      <c r="EM79" s="65"/>
      <c r="EN79" s="65"/>
      <c r="EO79" s="65"/>
      <c r="EP79" s="65"/>
      <c r="EQ79" s="65"/>
      <c r="ER79" s="65"/>
      <c r="ES79" s="65"/>
      <c r="ET79" s="65"/>
    </row>
    <row r="80" spans="1:150" s="26" customFormat="1">
      <c r="A80" s="27" t="s">
        <v>55</v>
      </c>
      <c r="C80" s="8">
        <f t="shared" si="75"/>
        <v>5070.4182140187722</v>
      </c>
      <c r="D80" s="8">
        <f t="shared" si="76"/>
        <v>4224.2353723062079</v>
      </c>
      <c r="E80" s="8">
        <f t="shared" si="77"/>
        <v>3666.9643962386317</v>
      </c>
      <c r="F80" s="8">
        <f t="shared" si="78"/>
        <v>2583.5953387511136</v>
      </c>
      <c r="G80" s="8">
        <f t="shared" si="79"/>
        <v>1664.6202434992665</v>
      </c>
      <c r="H80" s="8">
        <f t="shared" si="80"/>
        <v>1536.9693015072528</v>
      </c>
      <c r="I80" s="8">
        <f t="shared" si="81"/>
        <v>1572.4029902575196</v>
      </c>
      <c r="J80" s="8">
        <f t="shared" si="82"/>
        <v>932.10083849697241</v>
      </c>
      <c r="K80" s="8">
        <f t="shared" si="83"/>
        <v>691.78361999999993</v>
      </c>
      <c r="L80" s="8">
        <f t="shared" si="68"/>
        <v>1130.89976</v>
      </c>
      <c r="M80" s="8">
        <f t="shared" si="52"/>
        <v>2678.3334693962561</v>
      </c>
      <c r="N80" s="8">
        <f t="shared" si="87"/>
        <v>1900.9976869152754</v>
      </c>
      <c r="O80" s="8">
        <f t="shared" si="84"/>
        <v>2196.8491665881297</v>
      </c>
      <c r="P80" s="8">
        <f t="shared" si="85"/>
        <v>288.43399095765744</v>
      </c>
      <c r="R80" s="78">
        <f t="shared" si="71"/>
        <v>4.5230948406158848</v>
      </c>
      <c r="S80" s="78">
        <f t="shared" si="71"/>
        <v>4.6005558523197605</v>
      </c>
      <c r="T80" s="78">
        <f t="shared" si="71"/>
        <v>4.6931214271341419</v>
      </c>
      <c r="U80" s="78">
        <f t="shared" si="71"/>
        <v>4.7834547346569698</v>
      </c>
      <c r="V80" s="78">
        <f t="shared" si="71"/>
        <v>4.8766752861018068</v>
      </c>
      <c r="W80" s="78">
        <f t="shared" si="71"/>
        <v>4.9697889025865685</v>
      </c>
      <c r="X80" s="78">
        <f t="shared" si="71"/>
        <v>5.0792502010926999</v>
      </c>
      <c r="Y80" s="78">
        <f t="shared" si="86"/>
        <v>5.169155768775231</v>
      </c>
      <c r="Z80" s="592">
        <v>17.440000000000001</v>
      </c>
      <c r="AA80" s="592">
        <v>5.71</v>
      </c>
      <c r="AB80" s="592">
        <v>1.0110000000000001</v>
      </c>
      <c r="AC80" s="592">
        <v>2.0785</v>
      </c>
      <c r="AD80" s="592">
        <v>0</v>
      </c>
      <c r="AE80" s="592">
        <v>0</v>
      </c>
      <c r="AG80" s="73">
        <f>('Basel data'!F285+'Basel data'!F239)/2</f>
        <v>673.70959500000004</v>
      </c>
      <c r="AH80" s="73">
        <f>('Basel data'!F239+'Basel data'!F193)/2</f>
        <v>533.33946950000006</v>
      </c>
      <c r="AI80" s="73">
        <f>('Basel data'!F193+'Basel data'!F147)/2</f>
        <v>450.36601949999999</v>
      </c>
      <c r="AJ80" s="73">
        <f>('Basel data'!F147+'Basel data'!F101)/2</f>
        <v>416.32655</v>
      </c>
      <c r="AK80" s="8">
        <v>226.62250000000012</v>
      </c>
      <c r="AL80" s="315">
        <v>300.09325000000024</v>
      </c>
      <c r="AM80" s="8">
        <v>268.70799999999997</v>
      </c>
      <c r="AN80" s="315">
        <v>246.3338500000001</v>
      </c>
      <c r="AO80" s="282">
        <v>46.378000000000021</v>
      </c>
      <c r="AP80" s="8">
        <v>85.165999999999997</v>
      </c>
      <c r="AQ80" s="1">
        <v>87.583612238011867</v>
      </c>
      <c r="AR80" s="282">
        <v>83.142740000000003</v>
      </c>
      <c r="AS80" s="282">
        <v>44.774999999999999</v>
      </c>
      <c r="AT80" s="282">
        <v>25.561999999999998</v>
      </c>
      <c r="AV80" s="78">
        <f t="shared" si="72"/>
        <v>2.9444736720497287</v>
      </c>
      <c r="AW80" s="78">
        <f t="shared" si="72"/>
        <v>3.0224566191948417</v>
      </c>
      <c r="AX80" s="78">
        <f t="shared" si="72"/>
        <v>3.1048905522299686</v>
      </c>
      <c r="AY80" s="78">
        <f t="shared" si="72"/>
        <v>3.1782411253453482</v>
      </c>
      <c r="AZ80" s="78">
        <f t="shared" si="72"/>
        <v>3.2133467068477826</v>
      </c>
      <c r="BA80" s="78">
        <f t="shared" si="72"/>
        <v>3.2476430181883957</v>
      </c>
      <c r="BB80" s="78">
        <f t="shared" si="72"/>
        <v>3.3408207102683858</v>
      </c>
      <c r="BC80" s="78">
        <f t="shared" si="88"/>
        <v>3.3915117188527826</v>
      </c>
      <c r="BD80" s="592">
        <v>0</v>
      </c>
      <c r="BE80" s="592">
        <v>0.66</v>
      </c>
      <c r="BF80" s="592">
        <v>16.007999999999999</v>
      </c>
      <c r="BG80" s="592">
        <v>0</v>
      </c>
      <c r="BH80" s="592">
        <v>0.30099999999999999</v>
      </c>
      <c r="BI80" s="592">
        <v>4.4000000000000004</v>
      </c>
      <c r="BK80" s="8">
        <v>244.77200000000002</v>
      </c>
      <c r="BL80" s="8">
        <v>204.26</v>
      </c>
      <c r="BM80" s="8">
        <v>245.83600000000001</v>
      </c>
      <c r="BN80" s="8">
        <v>157.404</v>
      </c>
      <c r="BO80" s="8">
        <v>184.703</v>
      </c>
      <c r="BP80" s="8">
        <v>101.93</v>
      </c>
      <c r="BQ80" s="8">
        <v>269.48400000000004</v>
      </c>
      <c r="BR80" s="8">
        <v>153.14099999999996</v>
      </c>
      <c r="BS80" s="407">
        <v>122.06423999999998</v>
      </c>
      <c r="BT80" s="407">
        <v>53.000999999999998</v>
      </c>
      <c r="BU80" s="408">
        <f t="shared" si="89"/>
        <v>53.909995573846096</v>
      </c>
      <c r="BV80" s="701">
        <v>54.818991147692195</v>
      </c>
      <c r="BW80" s="702">
        <v>85.031566588129309</v>
      </c>
      <c r="BX80" s="724">
        <v>86.072440957657435</v>
      </c>
      <c r="BZ80" s="315">
        <v>137.30000000000001</v>
      </c>
      <c r="CA80" s="315">
        <v>118.96</v>
      </c>
      <c r="CB80" s="315">
        <v>102.74</v>
      </c>
      <c r="CC80" s="315">
        <v>137.93</v>
      </c>
      <c r="CD80" s="315">
        <v>64.849999999999994</v>
      </c>
      <c r="CE80" s="315">
        <v>57.370000000000005</v>
      </c>
      <c r="CF80" s="315">
        <v>39.33</v>
      </c>
      <c r="CG80" s="315">
        <v>8.0500000000000007</v>
      </c>
      <c r="CH80" s="8">
        <v>3.0663800000000001</v>
      </c>
      <c r="CI80" s="8">
        <v>578.70175999999992</v>
      </c>
      <c r="CJ80" s="1">
        <v>2265.9618599999999</v>
      </c>
      <c r="CK80" s="1">
        <v>1547.5001200000002</v>
      </c>
      <c r="CL80" s="1">
        <v>1801.3036999999999</v>
      </c>
      <c r="CM80" s="1">
        <v>2.9445500000000004</v>
      </c>
      <c r="CO80" s="78">
        <f t="shared" si="73"/>
        <v>2.698050506111052</v>
      </c>
      <c r="CP80" s="78">
        <f t="shared" si="73"/>
        <v>2.7218903346982581</v>
      </c>
      <c r="CQ80" s="78">
        <f t="shared" si="73"/>
        <v>2.7543647592715734</v>
      </c>
      <c r="CR80" s="78">
        <f t="shared" si="73"/>
        <v>2.780092891113211</v>
      </c>
      <c r="CS80" s="78">
        <f t="shared" si="73"/>
        <v>2.8007215063171524</v>
      </c>
      <c r="CT80" s="78">
        <f t="shared" si="73"/>
        <v>2.8096195864782989</v>
      </c>
      <c r="CU80" s="78">
        <f t="shared" si="73"/>
        <v>2.8110193461581838</v>
      </c>
      <c r="CV80" s="78">
        <f t="shared" si="90"/>
        <v>2.8173210093444858</v>
      </c>
      <c r="CW80" s="592">
        <v>1.52</v>
      </c>
      <c r="CX80" s="592">
        <v>9.7959999999999994</v>
      </c>
      <c r="CY80" s="592">
        <v>2.2000000000000002</v>
      </c>
      <c r="CZ80" s="592">
        <v>0.6</v>
      </c>
      <c r="DA80" s="592">
        <v>0</v>
      </c>
      <c r="DB80" s="592">
        <v>0</v>
      </c>
      <c r="DD80" s="8">
        <v>3990.200999999995</v>
      </c>
      <c r="DE80" s="8">
        <v>3345.0579999999945</v>
      </c>
      <c r="DF80" s="8">
        <v>2842.734999999996</v>
      </c>
      <c r="DG80" s="8">
        <v>1852.4349999999981</v>
      </c>
      <c r="DH80" s="8">
        <v>1166.3739999999996</v>
      </c>
      <c r="DI80" s="8">
        <v>1062.5239999999992</v>
      </c>
      <c r="DJ80" s="8">
        <v>972.11700000000019</v>
      </c>
      <c r="DK80" s="8">
        <v>456.50499999999988</v>
      </c>
      <c r="DL80" s="8">
        <v>366.94799999999987</v>
      </c>
      <c r="DM80" s="8">
        <v>365.35100000000006</v>
      </c>
      <c r="DN80" s="1">
        <v>235.11400158439852</v>
      </c>
      <c r="DO80" s="1">
        <v>212.0673357675833</v>
      </c>
      <c r="DP80" s="1">
        <v>264.51290000000006</v>
      </c>
      <c r="DQ80" s="394">
        <v>168.34899999999999</v>
      </c>
      <c r="DS80" s="8">
        <v>14.27</v>
      </c>
      <c r="DT80" s="8">
        <v>12.273</v>
      </c>
      <c r="DU80" s="8">
        <v>14.734999999999999</v>
      </c>
      <c r="DV80" s="8">
        <v>8.7579999999999991</v>
      </c>
      <c r="DW80" s="8">
        <v>11.18</v>
      </c>
      <c r="DX80" s="8">
        <v>4.0250000000000004</v>
      </c>
      <c r="DY80" s="8">
        <v>11.5329</v>
      </c>
      <c r="DZ80" s="8">
        <v>56.692999999999998</v>
      </c>
      <c r="EA80" s="8">
        <v>134.36700000000002</v>
      </c>
      <c r="EB80" s="8">
        <v>32.514000000000003</v>
      </c>
      <c r="EC80" s="281">
        <v>16.544999999999998</v>
      </c>
      <c r="ED80" s="394">
        <v>0.79</v>
      </c>
      <c r="EE80" s="393">
        <v>0.92500000000000004</v>
      </c>
      <c r="EF80" s="393">
        <v>1.1059999999999999</v>
      </c>
      <c r="EH80" s="65"/>
      <c r="EI80" s="65"/>
      <c r="EJ80" s="65"/>
      <c r="EK80" s="65"/>
      <c r="EL80" s="65"/>
      <c r="EM80" s="65"/>
      <c r="EN80" s="65"/>
      <c r="EO80" s="65"/>
      <c r="EP80" s="65"/>
      <c r="EQ80" s="65"/>
      <c r="ER80" s="65"/>
      <c r="ES80" s="65"/>
      <c r="ET80" s="65"/>
    </row>
    <row r="81" spans="1:150" s="26" customFormat="1">
      <c r="A81" s="27" t="s">
        <v>66</v>
      </c>
      <c r="C81" s="8">
        <f t="shared" si="75"/>
        <v>355741.18957896985</v>
      </c>
      <c r="D81" s="8">
        <f t="shared" si="76"/>
        <v>362779.64291468984</v>
      </c>
      <c r="E81" s="8">
        <f t="shared" si="77"/>
        <v>371129.52230358176</v>
      </c>
      <c r="F81" s="8">
        <f t="shared" si="78"/>
        <v>378103.17308196315</v>
      </c>
      <c r="G81" s="8">
        <f t="shared" si="79"/>
        <v>383703.74895971169</v>
      </c>
      <c r="H81" s="8">
        <f t="shared" si="80"/>
        <v>390230.99888821208</v>
      </c>
      <c r="I81" s="8">
        <f t="shared" si="81"/>
        <v>397828.47339227772</v>
      </c>
      <c r="J81" s="8">
        <f t="shared" si="82"/>
        <v>404435.1906043152</v>
      </c>
      <c r="K81" s="8">
        <f t="shared" si="83"/>
        <v>415288.78023266891</v>
      </c>
      <c r="L81" s="8">
        <f t="shared" si="68"/>
        <v>417941.613294932</v>
      </c>
      <c r="M81" s="8">
        <f t="shared" si="52"/>
        <v>411561.33860126813</v>
      </c>
      <c r="N81" s="8">
        <f t="shared" si="87"/>
        <v>442425.94307576306</v>
      </c>
      <c r="O81" s="8">
        <f t="shared" si="84"/>
        <v>464500</v>
      </c>
      <c r="P81" s="8">
        <f t="shared" si="85"/>
        <v>466037.5749501494</v>
      </c>
      <c r="R81" s="78">
        <f t="shared" ref="R81:X83" si="92">S81*R$8/S$8</f>
        <v>3291.8108007468045</v>
      </c>
      <c r="S81" s="78">
        <f t="shared" si="92"/>
        <v>3348.1852531845234</v>
      </c>
      <c r="T81" s="78">
        <f t="shared" si="92"/>
        <v>3415.5524806446106</v>
      </c>
      <c r="U81" s="78">
        <f t="shared" si="92"/>
        <v>3481.2951121500641</v>
      </c>
      <c r="V81" s="78">
        <f t="shared" si="92"/>
        <v>3549.1390174651033</v>
      </c>
      <c r="W81" s="78">
        <f t="shared" si="92"/>
        <v>3616.9050978242317</v>
      </c>
      <c r="X81" s="78">
        <f t="shared" si="92"/>
        <v>3696.5686683181884</v>
      </c>
      <c r="Y81" s="39">
        <v>3762</v>
      </c>
      <c r="Z81" s="78">
        <f>Y81*Z8/Y8</f>
        <v>3819.3083519086463</v>
      </c>
      <c r="AA81" s="78">
        <v>3848.1219945063385</v>
      </c>
      <c r="AB81" s="78">
        <v>3866.0908954292481</v>
      </c>
      <c r="AC81" s="39">
        <v>7434.8787719545653</v>
      </c>
      <c r="AD81" s="39">
        <v>5500</v>
      </c>
      <c r="AE81" s="39">
        <v>5500</v>
      </c>
      <c r="AG81" s="78">
        <f t="shared" ref="AG81:AL81" si="93">AH81*AG8/AH8</f>
        <v>95118.997270191787</v>
      </c>
      <c r="AH81" s="78">
        <f t="shared" si="93"/>
        <v>96488.308497943508</v>
      </c>
      <c r="AI81" s="78">
        <f t="shared" si="93"/>
        <v>98141.287995637889</v>
      </c>
      <c r="AJ81" s="78">
        <f t="shared" si="93"/>
        <v>99539.052953401639</v>
      </c>
      <c r="AK81" s="78">
        <f t="shared" si="93"/>
        <v>100637.7734137236</v>
      </c>
      <c r="AL81" s="78">
        <f t="shared" si="93"/>
        <v>101789.71496412226</v>
      </c>
      <c r="AM81" s="78">
        <f>AN81*AM8/AN8</f>
        <v>103139.05251440247</v>
      </c>
      <c r="AN81" s="332">
        <v>104598</v>
      </c>
      <c r="AO81" s="78">
        <v>110185.44956103867</v>
      </c>
      <c r="AP81" s="78">
        <f>(AQ81-AO81)/2+AO81</f>
        <v>110415.67133376861</v>
      </c>
      <c r="AQ81" s="78">
        <v>110645.89310649855</v>
      </c>
      <c r="AR81" s="331">
        <v>141474.75229023435</v>
      </c>
      <c r="AS81" s="39">
        <v>135100</v>
      </c>
      <c r="AT81" s="39">
        <v>136637.57495014937</v>
      </c>
      <c r="AV81" s="78">
        <f t="shared" ref="AV81:BB83" si="94">AW81*AV$8/AW$8</f>
        <v>4125.8003152946076</v>
      </c>
      <c r="AW81" s="78">
        <f t="shared" si="94"/>
        <v>4235.0701216348816</v>
      </c>
      <c r="AX81" s="78">
        <f t="shared" si="94"/>
        <v>4350.5766551575753</v>
      </c>
      <c r="AY81" s="78">
        <f t="shared" si="94"/>
        <v>4453.3555730195931</v>
      </c>
      <c r="AZ81" s="78">
        <f t="shared" si="94"/>
        <v>4502.5455591981809</v>
      </c>
      <c r="BA81" s="78">
        <f t="shared" si="94"/>
        <v>4550.6015949799648</v>
      </c>
      <c r="BB81" s="78">
        <f t="shared" si="94"/>
        <v>4681.1622975636728</v>
      </c>
      <c r="BC81" s="39">
        <f t="shared" si="88"/>
        <v>4752.1906043151866</v>
      </c>
      <c r="BD81" s="78">
        <v>5004.0355757535908</v>
      </c>
      <c r="BE81" s="78">
        <v>4435.0632355914195</v>
      </c>
      <c r="BF81" s="78">
        <v>5028.3185600578872</v>
      </c>
      <c r="BG81" s="39">
        <v>4409.5673626795715</v>
      </c>
      <c r="BH81" s="39">
        <v>4900</v>
      </c>
      <c r="BI81" s="39">
        <v>4900</v>
      </c>
      <c r="BK81" s="78">
        <f t="shared" ref="BK81:BP81" si="95">BL81*BK8/BL8</f>
        <v>78636.893857947623</v>
      </c>
      <c r="BL81" s="78">
        <f t="shared" si="95"/>
        <v>80656.112864304116</v>
      </c>
      <c r="BM81" s="78">
        <f t="shared" si="95"/>
        <v>82896.671389375551</v>
      </c>
      <c r="BN81" s="78">
        <f t="shared" si="95"/>
        <v>84678.535946878837</v>
      </c>
      <c r="BO81" s="78">
        <f t="shared" si="95"/>
        <v>86024.643174045952</v>
      </c>
      <c r="BP81" s="78">
        <f t="shared" si="95"/>
        <v>87625.127984038932</v>
      </c>
      <c r="BQ81" s="78">
        <f>BR81*BQ8/BR8</f>
        <v>89406.275165736995</v>
      </c>
      <c r="BR81" s="39">
        <v>90911</v>
      </c>
      <c r="BS81" s="409">
        <v>92353.252741092278</v>
      </c>
      <c r="BT81" s="409">
        <v>92741.705350818112</v>
      </c>
      <c r="BU81" s="409">
        <f>BV81*BU8/BV8</f>
        <v>87254.722919349166</v>
      </c>
      <c r="BV81" s="39">
        <v>88672.116218491647</v>
      </c>
      <c r="BW81" s="39">
        <v>102000</v>
      </c>
      <c r="BX81" s="397">
        <v>102000</v>
      </c>
      <c r="BZ81" s="323">
        <f t="shared" ref="BZ81:CE81" si="96">CA81*BZ8/CA8</f>
        <v>28371.560548584417</v>
      </c>
      <c r="CA81" s="323">
        <f t="shared" si="96"/>
        <v>28683.914839412333</v>
      </c>
      <c r="CB81" s="323">
        <f t="shared" si="96"/>
        <v>29036.283333998639</v>
      </c>
      <c r="CC81" s="323">
        <f t="shared" si="96"/>
        <v>29412.402311923826</v>
      </c>
      <c r="CD81" s="323">
        <f t="shared" si="96"/>
        <v>29665.062388697999</v>
      </c>
      <c r="CE81" s="323">
        <f t="shared" si="96"/>
        <v>29934.131559928956</v>
      </c>
      <c r="CF81" s="323">
        <f>CG81*CF8/CG8</f>
        <v>30223.807500942843</v>
      </c>
      <c r="CG81" s="381">
        <v>30500</v>
      </c>
      <c r="CH81" s="78">
        <v>30788.850226928895</v>
      </c>
      <c r="CI81" s="78">
        <f>(CH81+CJ81)/2</f>
        <v>30815.601072223366</v>
      </c>
      <c r="CJ81" s="1">
        <v>30842.351917517837</v>
      </c>
      <c r="CK81" s="39">
        <v>30866.614302195176</v>
      </c>
      <c r="CL81" s="39">
        <v>31200</v>
      </c>
      <c r="CM81" s="39">
        <v>31200</v>
      </c>
      <c r="CO81" s="78">
        <f t="shared" ref="CO81:CU83" si="97">CP81*CO$8/CP$8</f>
        <v>9624.5360384846917</v>
      </c>
      <c r="CP81" s="78">
        <f t="shared" si="97"/>
        <v>9709.5779192312402</v>
      </c>
      <c r="CQ81" s="78">
        <f t="shared" si="97"/>
        <v>9825.4212916688575</v>
      </c>
      <c r="CR81" s="78">
        <f t="shared" si="97"/>
        <v>9917.1991629695876</v>
      </c>
      <c r="CS81" s="78">
        <f t="shared" si="97"/>
        <v>9990.7859435004466</v>
      </c>
      <c r="CT81" s="78">
        <f t="shared" si="97"/>
        <v>10022.52734085024</v>
      </c>
      <c r="CU81" s="78">
        <f t="shared" si="97"/>
        <v>10027.520589662208</v>
      </c>
      <c r="CV81" s="39">
        <v>10050</v>
      </c>
      <c r="CW81" s="78">
        <v>10099.964349964835</v>
      </c>
      <c r="CX81" s="78">
        <v>10106.970123978557</v>
      </c>
      <c r="CY81" s="78">
        <v>10113.975897992277</v>
      </c>
      <c r="CZ81" s="39">
        <v>9374.3517897430993</v>
      </c>
      <c r="DA81" s="715">
        <v>11000</v>
      </c>
      <c r="DB81" s="715">
        <v>11000</v>
      </c>
      <c r="DD81" s="78">
        <f t="shared" ref="DD81:DI81" si="98">DE81*DD8/DE8</f>
        <v>79378.055629927054</v>
      </c>
      <c r="DE81" s="78">
        <f t="shared" si="98"/>
        <v>80863.884917308911</v>
      </c>
      <c r="DF81" s="78">
        <f t="shared" si="98"/>
        <v>82633.449153287074</v>
      </c>
      <c r="DG81" s="78">
        <f t="shared" si="98"/>
        <v>84281.426027495574</v>
      </c>
      <c r="DH81" s="78">
        <f t="shared" si="98"/>
        <v>85470.580907980751</v>
      </c>
      <c r="DI81" s="78">
        <f t="shared" si="98"/>
        <v>86984.995200598321</v>
      </c>
      <c r="DJ81" s="78">
        <f>DK81*DJ8/DK8</f>
        <v>88835.22887191792</v>
      </c>
      <c r="DK81" s="39">
        <v>90791</v>
      </c>
      <c r="DL81" s="78">
        <v>92845.920233945581</v>
      </c>
      <c r="DM81" s="78">
        <f>DL81*DM8/DL8</f>
        <v>94890.129338195533</v>
      </c>
      <c r="DN81" s="78">
        <v>94032.471035605515</v>
      </c>
      <c r="DO81" s="39">
        <v>114036.71589012709</v>
      </c>
      <c r="DP81" s="715">
        <v>113400</v>
      </c>
      <c r="DQ81" s="729">
        <v>113400</v>
      </c>
      <c r="DS81" s="78">
        <f t="shared" ref="DS81:DX81" si="99">DT81*DS8/DT8</f>
        <v>57193.535117792911</v>
      </c>
      <c r="DT81" s="78">
        <f t="shared" si="99"/>
        <v>58794.588501670332</v>
      </c>
      <c r="DU81" s="78">
        <f t="shared" si="99"/>
        <v>60830.280003811531</v>
      </c>
      <c r="DV81" s="78">
        <f t="shared" si="99"/>
        <v>62339.905994124012</v>
      </c>
      <c r="DW81" s="78">
        <f t="shared" si="99"/>
        <v>63863.21855509968</v>
      </c>
      <c r="DX81" s="78">
        <f t="shared" si="99"/>
        <v>65706.995145869136</v>
      </c>
      <c r="DY81" s="78">
        <f>DZ81*DY8/DZ8</f>
        <v>67818.857783733431</v>
      </c>
      <c r="DZ81" s="39">
        <v>69071</v>
      </c>
      <c r="EA81" s="78">
        <v>70191.999192036441</v>
      </c>
      <c r="EB81" s="78">
        <f>EA81*EB8/EA8</f>
        <v>70688.350845850073</v>
      </c>
      <c r="EC81" s="78">
        <v>69777.514268817598</v>
      </c>
      <c r="ED81" s="397">
        <v>46156.946450337506</v>
      </c>
      <c r="EE81" s="715">
        <v>61400</v>
      </c>
      <c r="EF81" s="729">
        <v>61400</v>
      </c>
      <c r="EH81" s="65"/>
      <c r="EI81" s="65"/>
      <c r="EJ81" s="65"/>
      <c r="EK81" s="65"/>
      <c r="EL81" s="65"/>
      <c r="EM81" s="65"/>
      <c r="EN81" s="65"/>
      <c r="EO81" s="65"/>
      <c r="EP81" s="65"/>
      <c r="EQ81" s="65"/>
      <c r="ER81" s="65"/>
      <c r="ES81" s="65"/>
      <c r="ET81" s="65"/>
    </row>
    <row r="82" spans="1:150" s="26" customFormat="1">
      <c r="A82" s="27" t="s">
        <v>71</v>
      </c>
      <c r="C82" s="8">
        <f t="shared" si="75"/>
        <v>602.14499999999998</v>
      </c>
      <c r="D82" s="8">
        <f t="shared" si="76"/>
        <v>448.298</v>
      </c>
      <c r="E82" s="8">
        <f t="shared" si="77"/>
        <v>1094.7349999999999</v>
      </c>
      <c r="F82" s="8">
        <f t="shared" si="78"/>
        <v>712.44200000000001</v>
      </c>
      <c r="G82" s="8">
        <f t="shared" si="79"/>
        <v>959.89599999999996</v>
      </c>
      <c r="H82" s="8">
        <f t="shared" si="80"/>
        <v>1337.2339999999999</v>
      </c>
      <c r="I82" s="8">
        <f t="shared" si="81"/>
        <v>1442.2019999999998</v>
      </c>
      <c r="J82" s="8">
        <f t="shared" si="82"/>
        <v>2213.4359999999997</v>
      </c>
      <c r="K82" s="8">
        <f t="shared" si="83"/>
        <v>55.085000000000001</v>
      </c>
      <c r="L82" s="8">
        <f t="shared" si="68"/>
        <v>250.188964</v>
      </c>
      <c r="M82" s="8">
        <f t="shared" si="52"/>
        <v>708.89750000000015</v>
      </c>
      <c r="N82" s="8">
        <f t="shared" si="87"/>
        <v>423.81049999999993</v>
      </c>
      <c r="O82" s="8">
        <f t="shared" si="84"/>
        <v>1158.1816021895208</v>
      </c>
      <c r="P82" s="8">
        <f t="shared" si="85"/>
        <v>1157.337246811142</v>
      </c>
      <c r="R82" s="78">
        <f t="shared" si="92"/>
        <v>0</v>
      </c>
      <c r="S82" s="78">
        <f t="shared" si="92"/>
        <v>0</v>
      </c>
      <c r="T82" s="78">
        <f t="shared" si="92"/>
        <v>0</v>
      </c>
      <c r="U82" s="78">
        <f t="shared" si="92"/>
        <v>0</v>
      </c>
      <c r="V82" s="78">
        <f t="shared" si="92"/>
        <v>0</v>
      </c>
      <c r="W82" s="78">
        <f t="shared" si="92"/>
        <v>0</v>
      </c>
      <c r="X82" s="78">
        <f t="shared" si="92"/>
        <v>0</v>
      </c>
      <c r="Y82" s="78">
        <f t="shared" si="86"/>
        <v>0</v>
      </c>
      <c r="Z82" s="592">
        <v>0</v>
      </c>
      <c r="AA82" s="592">
        <v>0</v>
      </c>
      <c r="AB82" s="592">
        <v>0</v>
      </c>
      <c r="AC82" s="592">
        <v>0</v>
      </c>
      <c r="AD82" s="592">
        <v>0</v>
      </c>
      <c r="AE82" s="592">
        <v>0</v>
      </c>
      <c r="AG82" s="73">
        <f>('Basel data'!F284+'Basel data'!F238)/2</f>
        <v>0</v>
      </c>
      <c r="AH82" s="73">
        <f>('Basel data'!F238+'Basel data'!F192)/2</f>
        <v>0</v>
      </c>
      <c r="AI82" s="73">
        <f>('Basel data'!F192+'Basel data'!F146)/2</f>
        <v>0</v>
      </c>
      <c r="AJ82" s="73">
        <f>('Basel data'!F146+0)/2</f>
        <v>0</v>
      </c>
      <c r="AK82" s="8">
        <v>0</v>
      </c>
      <c r="AL82" s="315">
        <v>0</v>
      </c>
      <c r="AM82" s="8">
        <v>0</v>
      </c>
      <c r="AN82" s="315">
        <v>0</v>
      </c>
      <c r="AO82" s="282">
        <v>0</v>
      </c>
      <c r="AP82" s="8">
        <v>0</v>
      </c>
      <c r="AQ82" s="1">
        <v>544</v>
      </c>
      <c r="AR82" s="282">
        <v>0.13</v>
      </c>
      <c r="AS82" s="282">
        <v>0</v>
      </c>
      <c r="AT82" s="282">
        <v>0.16400000000000003</v>
      </c>
      <c r="AV82" s="78">
        <f t="shared" si="94"/>
        <v>0</v>
      </c>
      <c r="AW82" s="78">
        <f t="shared" si="94"/>
        <v>0</v>
      </c>
      <c r="AX82" s="78">
        <f t="shared" si="94"/>
        <v>0</v>
      </c>
      <c r="AY82" s="78">
        <f t="shared" si="94"/>
        <v>0</v>
      </c>
      <c r="AZ82" s="78">
        <f t="shared" si="94"/>
        <v>0</v>
      </c>
      <c r="BA82" s="78">
        <f t="shared" si="94"/>
        <v>0</v>
      </c>
      <c r="BB82" s="78">
        <f t="shared" si="94"/>
        <v>0</v>
      </c>
      <c r="BC82" s="78">
        <f>AVERAGE(BD82:BH82)*BC$8/BD$8</f>
        <v>0</v>
      </c>
      <c r="BD82" s="592">
        <v>0</v>
      </c>
      <c r="BE82" s="592">
        <v>0</v>
      </c>
      <c r="BF82" s="592">
        <v>0</v>
      </c>
      <c r="BG82" s="592">
        <v>0</v>
      </c>
      <c r="BH82" s="592">
        <v>0</v>
      </c>
      <c r="BI82" s="592">
        <v>1</v>
      </c>
      <c r="BK82" s="8">
        <v>601.87</v>
      </c>
      <c r="BL82" s="8">
        <v>448</v>
      </c>
      <c r="BM82" s="8">
        <v>1001</v>
      </c>
      <c r="BN82" s="8">
        <v>706.73199999999997</v>
      </c>
      <c r="BO82" s="8">
        <v>942.64599999999996</v>
      </c>
      <c r="BP82" s="8">
        <v>1327.953</v>
      </c>
      <c r="BQ82" s="8">
        <v>1438.81</v>
      </c>
      <c r="BR82" s="8">
        <v>2203.6409999999996</v>
      </c>
      <c r="BS82" s="407">
        <v>0</v>
      </c>
      <c r="BT82" s="407">
        <v>85.735000000000014</v>
      </c>
      <c r="BU82" s="408">
        <f t="shared" si="89"/>
        <v>43.367500000000007</v>
      </c>
      <c r="BV82" s="701">
        <v>1</v>
      </c>
      <c r="BW82" s="702">
        <v>1122.4665021895207</v>
      </c>
      <c r="BX82" s="724">
        <v>1139.8732468111418</v>
      </c>
      <c r="BZ82" s="315">
        <v>0</v>
      </c>
      <c r="CA82" s="315">
        <v>0</v>
      </c>
      <c r="CB82" s="315">
        <v>0.01</v>
      </c>
      <c r="CC82" s="315">
        <v>0</v>
      </c>
      <c r="CD82" s="315">
        <v>0</v>
      </c>
      <c r="CE82" s="315">
        <v>0</v>
      </c>
      <c r="CF82" s="315">
        <v>0.05</v>
      </c>
      <c r="CG82" s="315">
        <v>0.96</v>
      </c>
      <c r="CH82" s="8">
        <v>0</v>
      </c>
      <c r="CI82" s="8">
        <v>0</v>
      </c>
      <c r="CJ82" s="78">
        <v>0</v>
      </c>
      <c r="CK82" s="1">
        <v>0</v>
      </c>
      <c r="CL82" s="1">
        <v>0</v>
      </c>
      <c r="CM82" s="1">
        <v>0</v>
      </c>
      <c r="CO82" s="78">
        <f t="shared" si="97"/>
        <v>0</v>
      </c>
      <c r="CP82" s="78">
        <f t="shared" si="97"/>
        <v>0</v>
      </c>
      <c r="CQ82" s="78">
        <f t="shared" si="97"/>
        <v>0</v>
      </c>
      <c r="CR82" s="78">
        <f t="shared" si="97"/>
        <v>0</v>
      </c>
      <c r="CS82" s="78">
        <f t="shared" si="97"/>
        <v>0</v>
      </c>
      <c r="CT82" s="78">
        <f t="shared" si="97"/>
        <v>0</v>
      </c>
      <c r="CU82" s="78">
        <f t="shared" si="97"/>
        <v>0</v>
      </c>
      <c r="CV82" s="78">
        <f t="shared" si="90"/>
        <v>0</v>
      </c>
      <c r="CW82" s="592">
        <v>0</v>
      </c>
      <c r="CX82" s="592">
        <v>0</v>
      </c>
      <c r="CY82" s="592">
        <v>0</v>
      </c>
      <c r="CZ82" s="592">
        <v>0</v>
      </c>
      <c r="DA82" s="592">
        <v>0</v>
      </c>
      <c r="DB82" s="592">
        <v>0</v>
      </c>
      <c r="DD82" s="8">
        <v>0.27500000000000002</v>
      </c>
      <c r="DE82" s="8">
        <v>0.29799999999999999</v>
      </c>
      <c r="DF82" s="8">
        <v>1.0199999999999998</v>
      </c>
      <c r="DG82" s="8">
        <v>5.23</v>
      </c>
      <c r="DH82" s="8">
        <v>0</v>
      </c>
      <c r="DI82" s="8">
        <v>9.2809999999999988</v>
      </c>
      <c r="DJ82" s="8">
        <v>0.74199999999999999</v>
      </c>
      <c r="DK82" s="8">
        <v>7.18</v>
      </c>
      <c r="DL82" s="8">
        <v>9.4</v>
      </c>
      <c r="DM82" s="8">
        <v>4.5</v>
      </c>
      <c r="DN82" s="1">
        <v>36.82</v>
      </c>
      <c r="DO82" s="1">
        <v>383.57399999999996</v>
      </c>
      <c r="DP82" s="1">
        <v>2.8231000000000002</v>
      </c>
      <c r="DQ82" s="394">
        <v>0.15000000000000002</v>
      </c>
      <c r="DS82" s="8">
        <v>0</v>
      </c>
      <c r="DT82" s="8">
        <v>0</v>
      </c>
      <c r="DU82" s="8">
        <v>92.704999999999998</v>
      </c>
      <c r="DV82" s="8">
        <v>0.48</v>
      </c>
      <c r="DW82" s="8">
        <v>17.25</v>
      </c>
      <c r="DX82" s="8">
        <v>0</v>
      </c>
      <c r="DY82" s="8">
        <v>2.6</v>
      </c>
      <c r="DZ82" s="8">
        <v>1.655</v>
      </c>
      <c r="EA82" s="8">
        <v>45.685000000000002</v>
      </c>
      <c r="EB82" s="8">
        <v>159.95396399999998</v>
      </c>
      <c r="EC82" s="281">
        <v>84.710000000000065</v>
      </c>
      <c r="ED82" s="394">
        <v>39.106499999999997</v>
      </c>
      <c r="EE82" s="393">
        <v>32.891999999999996</v>
      </c>
      <c r="EF82" s="393">
        <v>16.150000000000002</v>
      </c>
      <c r="EH82" s="65"/>
      <c r="EI82" s="249"/>
    </row>
    <row r="83" spans="1:150" s="26" customFormat="1">
      <c r="A83" s="29" t="s">
        <v>84</v>
      </c>
      <c r="C83" s="8">
        <f t="shared" si="75"/>
        <v>155413.71765245436</v>
      </c>
      <c r="D83" s="8">
        <f t="shared" si="76"/>
        <v>155597.22933565997</v>
      </c>
      <c r="E83" s="8">
        <f t="shared" si="77"/>
        <v>148232.00265001593</v>
      </c>
      <c r="F83" s="8">
        <f t="shared" si="78"/>
        <v>80256.372193528034</v>
      </c>
      <c r="G83" s="8">
        <f t="shared" si="79"/>
        <v>105953.87466000025</v>
      </c>
      <c r="H83" s="8">
        <f t="shared" si="80"/>
        <v>119977.97526699945</v>
      </c>
      <c r="I83" s="8">
        <f t="shared" si="81"/>
        <v>119696.79930400026</v>
      </c>
      <c r="J83" s="8">
        <f t="shared" si="82"/>
        <v>122251.97335499967</v>
      </c>
      <c r="K83" s="8">
        <f t="shared" si="83"/>
        <v>108804.57540500046</v>
      </c>
      <c r="L83" s="8">
        <f t="shared" si="68"/>
        <v>146946.38079000061</v>
      </c>
      <c r="M83" s="8">
        <f t="shared" si="52"/>
        <v>212903.5034851247</v>
      </c>
      <c r="N83" s="8">
        <f t="shared" si="87"/>
        <v>166625.41748211114</v>
      </c>
      <c r="O83" s="8">
        <f t="shared" si="84"/>
        <v>129560.50548056519</v>
      </c>
      <c r="P83" s="8">
        <f t="shared" si="85"/>
        <v>112128.26901953231</v>
      </c>
      <c r="R83" s="78">
        <f t="shared" si="92"/>
        <v>0</v>
      </c>
      <c r="S83" s="78">
        <f t="shared" si="92"/>
        <v>0</v>
      </c>
      <c r="T83" s="78">
        <f t="shared" si="92"/>
        <v>0</v>
      </c>
      <c r="U83" s="78">
        <f t="shared" si="92"/>
        <v>0</v>
      </c>
      <c r="V83" s="78">
        <f t="shared" si="92"/>
        <v>0</v>
      </c>
      <c r="W83" s="78">
        <f t="shared" si="92"/>
        <v>0</v>
      </c>
      <c r="X83" s="78">
        <f t="shared" si="92"/>
        <v>0</v>
      </c>
      <c r="Y83" s="78">
        <f>AVERAGE(Z83:AD83)*Y$8/Z$8</f>
        <v>0</v>
      </c>
      <c r="Z83" s="592">
        <v>0</v>
      </c>
      <c r="AA83" s="592">
        <v>0</v>
      </c>
      <c r="AB83" s="592">
        <v>0</v>
      </c>
      <c r="AC83" s="592">
        <v>0</v>
      </c>
      <c r="AD83" s="592">
        <v>0</v>
      </c>
      <c r="AE83" s="592">
        <v>0</v>
      </c>
      <c r="AG83" s="78">
        <f t="shared" ref="AG83:AJ83" si="100">($AO$83/$AO$8)*AG8</f>
        <v>9434.0671724545664</v>
      </c>
      <c r="AH83" s="78">
        <f t="shared" si="100"/>
        <v>9569.8778356590065</v>
      </c>
      <c r="AI83" s="78">
        <f t="shared" si="100"/>
        <v>9733.823210016164</v>
      </c>
      <c r="AJ83" s="78">
        <f t="shared" si="100"/>
        <v>9872.4559635279456</v>
      </c>
      <c r="AK83" s="8">
        <v>6118.4221400000388</v>
      </c>
      <c r="AL83" s="8">
        <v>14192.225957000051</v>
      </c>
      <c r="AM83" s="8">
        <v>15531.990133999854</v>
      </c>
      <c r="AN83" s="282">
        <v>13918.321414999997</v>
      </c>
      <c r="AO83" s="282">
        <v>10528.049785000174</v>
      </c>
      <c r="AP83" s="8">
        <v>18824.891880000272</v>
      </c>
      <c r="AQ83" s="1">
        <v>17609.868549999952</v>
      </c>
      <c r="AR83" s="282">
        <v>15650.34217016635</v>
      </c>
      <c r="AS83" s="282">
        <v>12834.528000000006</v>
      </c>
      <c r="AT83" s="282">
        <v>409.99999999995435</v>
      </c>
      <c r="AV83" s="78">
        <f t="shared" si="94"/>
        <v>0</v>
      </c>
      <c r="AW83" s="78">
        <f t="shared" si="94"/>
        <v>0</v>
      </c>
      <c r="AX83" s="78">
        <f t="shared" si="94"/>
        <v>0</v>
      </c>
      <c r="AY83" s="78">
        <f t="shared" si="94"/>
        <v>0</v>
      </c>
      <c r="AZ83" s="78">
        <f t="shared" si="94"/>
        <v>0</v>
      </c>
      <c r="BA83" s="78">
        <f t="shared" si="94"/>
        <v>0</v>
      </c>
      <c r="BB83" s="78">
        <f t="shared" si="94"/>
        <v>0</v>
      </c>
      <c r="BC83" s="78">
        <f t="shared" si="88"/>
        <v>0</v>
      </c>
      <c r="BD83" s="592">
        <v>0</v>
      </c>
      <c r="BE83" s="592">
        <v>0</v>
      </c>
      <c r="BF83" s="592">
        <v>0</v>
      </c>
      <c r="BG83" s="592">
        <v>0</v>
      </c>
      <c r="BH83" s="592">
        <v>0</v>
      </c>
      <c r="BI83" s="721">
        <v>0</v>
      </c>
      <c r="BK83" s="8">
        <v>0</v>
      </c>
      <c r="BL83" s="8">
        <v>0</v>
      </c>
      <c r="BM83" s="8">
        <v>0</v>
      </c>
      <c r="BN83" s="8">
        <v>0</v>
      </c>
      <c r="BO83" s="8">
        <v>0</v>
      </c>
      <c r="BP83" s="8">
        <v>0</v>
      </c>
      <c r="BQ83" s="8">
        <v>0</v>
      </c>
      <c r="BR83" s="8">
        <v>4999.425999999924</v>
      </c>
      <c r="BS83" s="407">
        <v>62091.308120000314</v>
      </c>
      <c r="BT83" s="407">
        <v>58954.469000000048</v>
      </c>
      <c r="BU83" s="408">
        <f t="shared" si="89"/>
        <v>61020.563035124869</v>
      </c>
      <c r="BV83" s="701">
        <v>63086.657070249697</v>
      </c>
      <c r="BW83" s="702">
        <v>74259.954960565025</v>
      </c>
      <c r="BX83" s="724">
        <v>75348.547519532454</v>
      </c>
      <c r="BZ83" s="8">
        <v>0.61000000000582077</v>
      </c>
      <c r="CA83" s="8">
        <v>0</v>
      </c>
      <c r="CB83" s="8">
        <v>1.4551915228366852E-11</v>
      </c>
      <c r="CC83" s="8">
        <v>0</v>
      </c>
      <c r="CD83" s="8">
        <v>0</v>
      </c>
      <c r="CE83" s="8">
        <v>0.59999999997671694</v>
      </c>
      <c r="CF83" s="8">
        <v>1.0004441719502211E-10</v>
      </c>
      <c r="CG83" s="8">
        <v>15.340000000000032</v>
      </c>
      <c r="CH83" s="8">
        <v>0</v>
      </c>
      <c r="CI83" s="8">
        <v>0</v>
      </c>
      <c r="CJ83" s="1">
        <v>16.8</v>
      </c>
      <c r="CK83" s="1">
        <v>17.37134169460548</v>
      </c>
      <c r="CL83" s="1">
        <v>7.2759576141834259E-12</v>
      </c>
      <c r="CM83" s="1">
        <v>94.229999999979469</v>
      </c>
      <c r="CO83" s="78">
        <f t="shared" si="97"/>
        <v>0</v>
      </c>
      <c r="CP83" s="78">
        <f t="shared" si="97"/>
        <v>0</v>
      </c>
      <c r="CQ83" s="78">
        <f t="shared" si="97"/>
        <v>0</v>
      </c>
      <c r="CR83" s="78">
        <f t="shared" si="97"/>
        <v>0</v>
      </c>
      <c r="CS83" s="78">
        <f t="shared" si="97"/>
        <v>0</v>
      </c>
      <c r="CT83" s="78">
        <f t="shared" si="97"/>
        <v>0</v>
      </c>
      <c r="CU83" s="78">
        <f t="shared" si="97"/>
        <v>0</v>
      </c>
      <c r="CV83" s="78">
        <f t="shared" si="90"/>
        <v>0</v>
      </c>
      <c r="CW83" s="592">
        <v>0</v>
      </c>
      <c r="CX83" s="592">
        <v>0</v>
      </c>
      <c r="CY83" s="592">
        <v>0</v>
      </c>
      <c r="CZ83" s="592">
        <v>0</v>
      </c>
      <c r="DA83" s="592">
        <v>0</v>
      </c>
      <c r="DB83" s="592">
        <v>0</v>
      </c>
      <c r="DD83" s="8">
        <v>83617.565000000002</v>
      </c>
      <c r="DE83" s="8">
        <v>72912.630000000616</v>
      </c>
      <c r="DF83" s="8">
        <v>57501.532999999945</v>
      </c>
      <c r="DG83" s="8">
        <v>7196.756999999845</v>
      </c>
      <c r="DH83" s="8">
        <v>534.990000000078</v>
      </c>
      <c r="DI83" s="8">
        <v>3956.0299999999334</v>
      </c>
      <c r="DJ83" s="8">
        <v>5705.0510000002032</v>
      </c>
      <c r="DK83" s="8">
        <v>1457.2649999998393</v>
      </c>
      <c r="DL83" s="8">
        <v>1156.1180000000563</v>
      </c>
      <c r="DM83" s="8">
        <v>0</v>
      </c>
      <c r="DN83" s="1">
        <v>94069.492999999813</v>
      </c>
      <c r="DO83" s="1">
        <v>3.7891823012614623E-10</v>
      </c>
      <c r="DP83" s="1">
        <v>0</v>
      </c>
      <c r="DQ83" s="394">
        <v>0</v>
      </c>
      <c r="DS83" s="8">
        <v>62361.47547999979</v>
      </c>
      <c r="DT83" s="8">
        <v>73114.721500000349</v>
      </c>
      <c r="DU83" s="8">
        <v>80996.646439999793</v>
      </c>
      <c r="DV83" s="8">
        <v>63187.159230000245</v>
      </c>
      <c r="DW83" s="8">
        <v>99300.462520000132</v>
      </c>
      <c r="DX83" s="8">
        <v>101829.11930999949</v>
      </c>
      <c r="DY83" s="8">
        <v>98459.758170000103</v>
      </c>
      <c r="DZ83" s="8">
        <v>101861.62093999992</v>
      </c>
      <c r="EA83" s="8">
        <v>35029.099499999909</v>
      </c>
      <c r="EB83" s="8">
        <v>69167.019910000279</v>
      </c>
      <c r="EC83" s="281">
        <v>40186.778900000056</v>
      </c>
      <c r="ED83" s="394">
        <v>87871.046900000103</v>
      </c>
      <c r="EE83" s="393">
        <v>42466.022520000144</v>
      </c>
      <c r="EF83" s="393">
        <v>36275.491499999924</v>
      </c>
      <c r="EH83" s="65"/>
      <c r="EI83" s="249"/>
    </row>
    <row r="84" spans="1:150" s="26" customFormat="1">
      <c r="A84" s="29"/>
    </row>
    <row r="85" spans="1:150" s="26" customFormat="1">
      <c r="A85" s="27" t="s">
        <v>649</v>
      </c>
      <c r="C85" s="8">
        <f t="shared" ref="C85:C86" si="101">SUM(R85,AG85,AV85,BK85,BZ85,CO85,DD85,DS85)</f>
        <v>1393696.6231991986</v>
      </c>
      <c r="D85" s="8">
        <f t="shared" ref="D85:D86" si="102">SUM(S85,AH85,AW85,BL85,CA85,CP85,DE85,DT85)</f>
        <v>1419849.9796658279</v>
      </c>
      <c r="E85" s="8">
        <f t="shared" ref="E85:E86" si="103">SUM(T85,AI85,AX85,BM85,CB85,CQ85,DF85,DU85)</f>
        <v>1450640.6155692299</v>
      </c>
      <c r="F85" s="8">
        <f t="shared" ref="F85:F86" si="104">SUM(U85,AJ85,AY85,BN85,CC85,CR85,DG85,DV85)</f>
        <v>1476999.6417602911</v>
      </c>
      <c r="G85" s="8">
        <f t="shared" ref="G85:G86" si="105">SUM(V85,AK85,AZ85,BO85,CD85,CS85,DH85,DW85)</f>
        <v>1497327.7901162044</v>
      </c>
      <c r="H85" s="8">
        <f t="shared" ref="H85:H86" si="106">SUM(W85,AL85,BA85,BP85,CE85,CT85,DI85,DX85)</f>
        <v>1521072.8845812213</v>
      </c>
      <c r="I85" s="8">
        <f t="shared" ref="I85:I86" si="107">SUM(X85,AM85,BB85,BQ85,CF85,CU85,DJ85,DY85)</f>
        <v>1548819.7426907897</v>
      </c>
      <c r="J85" s="8">
        <f t="shared" ref="J85:J86" si="108">SUM(Y85,AN85,BC85,BR85,CG85,CV85,DK85,DZ85)</f>
        <v>1502320.5659887772</v>
      </c>
      <c r="K85" s="8">
        <f t="shared" ref="K85:K86" si="109">SUM(Z85,AO85,BD85,BS85,CH85,CW85,DL85,EA85)</f>
        <v>1455821.3892867644</v>
      </c>
      <c r="L85" s="8">
        <f t="shared" ref="L85:L86" si="110">SUM(AA85,AP85,BE85,BT85,CI85,CX85,DM84,EB85)</f>
        <v>1051077.5755957633</v>
      </c>
      <c r="M85" s="8">
        <f t="shared" ref="M85:M86" si="111">SUM(AB85,AQ85,BF85,BU85,CJ85,CY85,DN85,EC85)</f>
        <v>1557143</v>
      </c>
      <c r="N85" s="8">
        <f t="shared" ref="N85:N86" si="112">SUM(AC85,AR85,BG85,BV85,CK85,CZ85,DO85,ED85)</f>
        <v>1650412.9056820867</v>
      </c>
      <c r="O85" s="8">
        <f>SUM(AD85,AS85,BH85,BW85,CL85,DA85,DP85,EE85)</f>
        <v>1743682.8113641737</v>
      </c>
      <c r="P85" s="8">
        <f>SUM(AE85,AT85,BI85,BX85,CM85,DB85,DQ85,EF85)</f>
        <v>1804148.4062805586</v>
      </c>
      <c r="R85" s="78">
        <v>0</v>
      </c>
      <c r="S85" s="78">
        <v>0</v>
      </c>
      <c r="T85" s="78">
        <v>0</v>
      </c>
      <c r="U85" s="78">
        <v>0</v>
      </c>
      <c r="V85" s="78">
        <v>0</v>
      </c>
      <c r="W85" s="78">
        <v>0</v>
      </c>
      <c r="X85" s="39">
        <f>Biosolids!X33</f>
        <v>0</v>
      </c>
      <c r="Y85" s="78">
        <v>0</v>
      </c>
      <c r="Z85" s="39">
        <f>Biosolids!N33</f>
        <v>0</v>
      </c>
      <c r="AA85" s="78">
        <v>0</v>
      </c>
      <c r="AB85" s="39">
        <v>0</v>
      </c>
      <c r="AC85" s="78">
        <v>0</v>
      </c>
      <c r="AD85" s="39">
        <f>Biosolids!C33</f>
        <v>0</v>
      </c>
      <c r="AE85" s="39">
        <v>0</v>
      </c>
      <c r="AG85" s="78">
        <f t="shared" ref="AG85:AK85" si="113">AH85*AG8/AH8</f>
        <v>403672.56744532275</v>
      </c>
      <c r="AH85" s="78">
        <f t="shared" si="113"/>
        <v>409483.74496823247</v>
      </c>
      <c r="AI85" s="78">
        <f t="shared" si="113"/>
        <v>416498.77347902901</v>
      </c>
      <c r="AJ85" s="78">
        <f t="shared" si="113"/>
        <v>422430.70490575378</v>
      </c>
      <c r="AK85" s="78">
        <f t="shared" si="113"/>
        <v>427093.53064878611</v>
      </c>
      <c r="AL85" s="78">
        <f>AM85*AL8/AM8</f>
        <v>431982.21972816624</v>
      </c>
      <c r="AM85" s="39">
        <f>Biosolids!Y33</f>
        <v>437708.63157967856</v>
      </c>
      <c r="AN85" s="530">
        <f>AVERAGE(AO85,AM85)</f>
        <v>415336.43900465011</v>
      </c>
      <c r="AO85" s="39">
        <f>Biosolids!O33</f>
        <v>392964.24642962159</v>
      </c>
      <c r="AP85" s="530">
        <f>AVERAGE(AQ85,AO85)</f>
        <v>391125.1232148108</v>
      </c>
      <c r="AQ85" s="39">
        <v>389286</v>
      </c>
      <c r="AR85" s="530">
        <f>AVERAGE(AS85,AQ85)</f>
        <v>412817.73901542026</v>
      </c>
      <c r="AS85" s="39">
        <f>Biosolids!D33</f>
        <v>436349.47803084052</v>
      </c>
      <c r="AT85" s="39">
        <v>441354.7416984216</v>
      </c>
      <c r="AV85" s="78">
        <f t="shared" ref="AV85:AZ85" si="114">AW85*AV8/AW8</f>
        <v>11148.205949385339</v>
      </c>
      <c r="AW85" s="78">
        <f t="shared" si="114"/>
        <v>11443.460739253625</v>
      </c>
      <c r="AX85" s="78">
        <f t="shared" si="114"/>
        <v>11755.56760963148</v>
      </c>
      <c r="AY85" s="78">
        <f t="shared" si="114"/>
        <v>12033.283557088553</v>
      </c>
      <c r="AZ85" s="78">
        <f t="shared" si="114"/>
        <v>12166.198398975941</v>
      </c>
      <c r="BA85" s="78">
        <f>BB85*BA8/BB8</f>
        <v>12296.049226225225</v>
      </c>
      <c r="BB85" s="39">
        <f>Biosolids!Z33</f>
        <v>12648.833532315835</v>
      </c>
      <c r="BC85" s="54">
        <f>AVERAGE(BB85,BD85)</f>
        <v>12143.099714531505</v>
      </c>
      <c r="BD85" s="39">
        <f>Biosolids!P33</f>
        <v>11637.365896747173</v>
      </c>
      <c r="BE85" s="54">
        <f>AVERAGE(BD85,BF85)</f>
        <v>13275.682948373586</v>
      </c>
      <c r="BF85" s="39">
        <v>14914</v>
      </c>
      <c r="BG85" s="54">
        <f>AVERAGE(BF85,BH85)</f>
        <v>15832.598019581665</v>
      </c>
      <c r="BH85" s="39">
        <f>Biosolids!E33</f>
        <v>16751.196039163329</v>
      </c>
      <c r="BI85" s="39">
        <v>16434.01418052585</v>
      </c>
      <c r="BK85" s="78">
        <f t="shared" ref="BK85:BO85" si="115">BL85*BK8/BL8</f>
        <v>293181.85892498185</v>
      </c>
      <c r="BL85" s="78">
        <f t="shared" si="115"/>
        <v>300710.11128614016</v>
      </c>
      <c r="BM85" s="78">
        <f t="shared" si="115"/>
        <v>309063.5835710105</v>
      </c>
      <c r="BN85" s="78">
        <f t="shared" si="115"/>
        <v>315706.90755917632</v>
      </c>
      <c r="BO85" s="78">
        <f t="shared" si="115"/>
        <v>320725.59789409884</v>
      </c>
      <c r="BP85" s="78">
        <f>BQ85*BP8/BQ8</f>
        <v>326692.68393672124</v>
      </c>
      <c r="BQ85" s="39">
        <f>Biosolids!AA33</f>
        <v>333333.33333333337</v>
      </c>
      <c r="BR85" s="54">
        <f>AVERAGE(BQ85,BS85)</f>
        <v>314285.71428571432</v>
      </c>
      <c r="BS85" s="39">
        <f>Biosolids!Q33</f>
        <v>295238.09523809527</v>
      </c>
      <c r="BT85" s="54">
        <f>AVERAGE(BS85,BU85)</f>
        <v>318904.54761904763</v>
      </c>
      <c r="BU85" s="39">
        <v>342571</v>
      </c>
      <c r="BV85" s="54">
        <f>AVERAGE(BU85,BW85)</f>
        <v>339118.83333333337</v>
      </c>
      <c r="BW85" s="39">
        <f>Biosolids!F33</f>
        <v>335666.66666666669</v>
      </c>
      <c r="BX85" s="39">
        <v>340872.04601051367</v>
      </c>
      <c r="BZ85" s="78">
        <f t="shared" ref="BZ85:CD85" si="116">CA85*BZ8/CA8</f>
        <v>134102.23309034662</v>
      </c>
      <c r="CA85" s="78">
        <f t="shared" si="116"/>
        <v>135578.62025782882</v>
      </c>
      <c r="CB85" s="78">
        <f t="shared" si="116"/>
        <v>137244.14027438869</v>
      </c>
      <c r="CC85" s="78">
        <f t="shared" si="116"/>
        <v>139021.92034260361</v>
      </c>
      <c r="CD85" s="78">
        <f t="shared" si="116"/>
        <v>140216.15428155716</v>
      </c>
      <c r="CE85" s="78">
        <f>CF85*CE8/CF8</f>
        <v>141487.94814908342</v>
      </c>
      <c r="CF85" s="39">
        <f>Biosolids!AB33</f>
        <v>142857.14285714287</v>
      </c>
      <c r="CG85" s="54">
        <f>AVERAGE(CH85,CF85)</f>
        <v>137857.14285714287</v>
      </c>
      <c r="CH85" s="39">
        <f>Biosolids!R33</f>
        <v>132857.14285714287</v>
      </c>
      <c r="CI85" s="54">
        <f>AVERAGE(CJ85,CH85)</f>
        <v>136500.07142857142</v>
      </c>
      <c r="CJ85" s="39">
        <v>140143</v>
      </c>
      <c r="CK85" s="54">
        <f>AVERAGE(CL85,CJ85)</f>
        <v>184904.83333333334</v>
      </c>
      <c r="CL85" s="39">
        <f>Biosolids!G33</f>
        <v>229666.66666666669</v>
      </c>
      <c r="CM85" s="39">
        <v>231810.59153425434</v>
      </c>
      <c r="CO85" s="78">
        <f t="shared" ref="CO85:CS85" si="117">CP85*CO8/CP8</f>
        <v>30470.226800985736</v>
      </c>
      <c r="CP85" s="78">
        <f t="shared" si="117"/>
        <v>30739.460079719207</v>
      </c>
      <c r="CQ85" s="78">
        <f t="shared" si="117"/>
        <v>31106.207507070627</v>
      </c>
      <c r="CR85" s="78">
        <f t="shared" si="117"/>
        <v>31396.766194020609</v>
      </c>
      <c r="CS85" s="78">
        <f t="shared" si="117"/>
        <v>31629.733880292853</v>
      </c>
      <c r="CT85" s="78">
        <f>CU85*CT8/CU8</f>
        <v>31730.223667266593</v>
      </c>
      <c r="CU85" s="39">
        <f>Biosolids!AC33</f>
        <v>31746.031746031749</v>
      </c>
      <c r="CV85" s="54">
        <f>AVERAGE(CU85,CW85)</f>
        <v>52777.777777777781</v>
      </c>
      <c r="CW85" s="39">
        <f>Biosolids!S33</f>
        <v>73809.523809523816</v>
      </c>
      <c r="CX85" s="54">
        <f>AVERAGE(CW85,CY85)</f>
        <v>52476.261904761908</v>
      </c>
      <c r="CY85" s="39">
        <v>31143</v>
      </c>
      <c r="CZ85" s="54">
        <f>AVERAGE(CY85,DA85)</f>
        <v>33238.166666666672</v>
      </c>
      <c r="DA85" s="39">
        <f>Biosolids!H33</f>
        <v>35333.333333333336</v>
      </c>
      <c r="DB85" s="39">
        <v>71400.734913667402</v>
      </c>
      <c r="DD85" s="78">
        <f t="shared" ref="DD85:DH85" si="118">DE85*DD8/DE8</f>
        <v>411313.23053366534</v>
      </c>
      <c r="DE85" s="78">
        <f t="shared" si="118"/>
        <v>419012.35139729298</v>
      </c>
      <c r="DF85" s="78">
        <f t="shared" si="118"/>
        <v>428181.70149992523</v>
      </c>
      <c r="DG85" s="78">
        <f t="shared" si="118"/>
        <v>436721.02243184182</v>
      </c>
      <c r="DH85" s="78">
        <f t="shared" si="118"/>
        <v>442882.86567196302</v>
      </c>
      <c r="DI85" s="78">
        <f>DJ85*DI8/DJ8</f>
        <v>450730.10544269939</v>
      </c>
      <c r="DJ85" s="39">
        <f>Biosolids!AD33</f>
        <v>460317.46031746035</v>
      </c>
      <c r="DK85" s="54">
        <f>AVERAGE(DJ85,DL85)</f>
        <v>444206.34920634923</v>
      </c>
      <c r="DL85" s="39">
        <f>Biosolids!T33</f>
        <v>428095.23809523811</v>
      </c>
      <c r="DM85" s="54">
        <f>AVERAGE(DL85,DN85)</f>
        <v>455404.61904761905</v>
      </c>
      <c r="DN85" s="39">
        <v>482714</v>
      </c>
      <c r="DO85" s="54">
        <f>AVERAGE(DN85,DP85)</f>
        <v>497523.66666666663</v>
      </c>
      <c r="DP85" s="39">
        <f>Biosolids!I33</f>
        <v>512333.33333333326</v>
      </c>
      <c r="DQ85" s="39">
        <v>522165.57582303113</v>
      </c>
      <c r="DS85" s="78">
        <f t="shared" ref="DS85:DW85" si="119">DT85*DS8/DT8</f>
        <v>109808.30045451078</v>
      </c>
      <c r="DT85" s="78">
        <f t="shared" si="119"/>
        <v>112882.23093736057</v>
      </c>
      <c r="DU85" s="78">
        <f t="shared" si="119"/>
        <v>116790.64162817436</v>
      </c>
      <c r="DV85" s="78">
        <f t="shared" si="119"/>
        <v>119689.03676980636</v>
      </c>
      <c r="DW85" s="78">
        <f t="shared" si="119"/>
        <v>122613.70934053033</v>
      </c>
      <c r="DX85" s="78">
        <f>DY85*DX8/DY8</f>
        <v>126153.65443105891</v>
      </c>
      <c r="DY85" s="39">
        <f>Biosolids!AE33</f>
        <v>130208.30932482703</v>
      </c>
      <c r="DZ85" s="54">
        <f>AVERAGE(DY85,EA85)</f>
        <v>125714.04314261136</v>
      </c>
      <c r="EA85" s="39">
        <f>Biosolids!U33</f>
        <v>121219.7769603957</v>
      </c>
      <c r="EB85" s="54">
        <f>AVERAGE(EA85,EC85)</f>
        <v>138795.88848019784</v>
      </c>
      <c r="EC85" s="39">
        <v>156372</v>
      </c>
      <c r="ED85" s="54">
        <f>AVERAGE(EC85,EE85)</f>
        <v>166977.06864708499</v>
      </c>
      <c r="EE85" s="39">
        <f>Biosolids!J33</f>
        <v>177582.13729417001</v>
      </c>
      <c r="EF85" s="39">
        <v>180110.70212014474</v>
      </c>
      <c r="EH85" s="65"/>
      <c r="EI85" s="249"/>
    </row>
    <row r="86" spans="1:150" s="26" customFormat="1">
      <c r="A86" s="27" t="s">
        <v>650</v>
      </c>
      <c r="C86" s="8">
        <f t="shared" ca="1" si="101"/>
        <v>5356.6667839017882</v>
      </c>
      <c r="D86" s="8">
        <f t="shared" ca="1" si="102"/>
        <v>5335.0624647908799</v>
      </c>
      <c r="E86" s="8">
        <f t="shared" ca="1" si="103"/>
        <v>5558.7048081239363</v>
      </c>
      <c r="F86" s="8">
        <f t="shared" ca="1" si="104"/>
        <v>5955.8489207412222</v>
      </c>
      <c r="G86" s="8">
        <f t="shared" ca="1" si="105"/>
        <v>6063.3915705822546</v>
      </c>
      <c r="H86" s="8">
        <f t="shared" ca="1" si="106"/>
        <v>6377.7119285229328</v>
      </c>
      <c r="I86" s="8">
        <f t="shared" si="107"/>
        <v>7831.1045796392054</v>
      </c>
      <c r="J86" s="8">
        <f t="shared" si="108"/>
        <v>4923.1529216904273</v>
      </c>
      <c r="K86" s="8">
        <f t="shared" si="109"/>
        <v>2015.2012637416492</v>
      </c>
      <c r="L86" s="8">
        <f t="shared" si="110"/>
        <v>460411.55301282322</v>
      </c>
      <c r="M86" s="8">
        <f t="shared" si="111"/>
        <v>7998.666666666667</v>
      </c>
      <c r="N86" s="8">
        <f t="shared" si="112"/>
        <v>8077.58879583629</v>
      </c>
      <c r="O86" s="8">
        <f>SUM(AD86,AS86,BH86,BW86,CL86,DA86,DP86,EE86)</f>
        <v>8156.5109250059131</v>
      </c>
      <c r="P86" s="8">
        <f>SUM(AE86,AT86,BI86,BX86,CM86,DB86,DQ86,EF86)</f>
        <v>8263.6226187877746</v>
      </c>
      <c r="R86" s="8">
        <v>0</v>
      </c>
      <c r="S86" s="8">
        <v>0</v>
      </c>
      <c r="T86" s="8">
        <v>0</v>
      </c>
      <c r="U86" s="8">
        <v>0</v>
      </c>
      <c r="V86" s="8">
        <v>0</v>
      </c>
      <c r="W86" s="8">
        <v>0</v>
      </c>
      <c r="X86" s="39">
        <f>Biosolids!X36</f>
        <v>0</v>
      </c>
      <c r="Y86" s="315">
        <v>0</v>
      </c>
      <c r="Z86" s="39">
        <f>Biosolids!N36</f>
        <v>0</v>
      </c>
      <c r="AA86" s="8">
        <v>0</v>
      </c>
      <c r="AB86" s="39">
        <v>0</v>
      </c>
      <c r="AC86" s="8">
        <v>0</v>
      </c>
      <c r="AD86" s="39">
        <f>Biosolids!C36</f>
        <v>0</v>
      </c>
      <c r="AE86" s="39">
        <v>0</v>
      </c>
      <c r="AG86" s="78">
        <f t="shared" ref="AG86:AK86" ca="1" si="120">AH86*AG9/AH9</f>
        <v>3292.5452917073349</v>
      </c>
      <c r="AH86" s="78">
        <f t="shared" ca="1" si="120"/>
        <v>3277.535887010345</v>
      </c>
      <c r="AI86" s="78">
        <f t="shared" ca="1" si="120"/>
        <v>3467.503865462088</v>
      </c>
      <c r="AJ86" s="78">
        <f t="shared" ca="1" si="120"/>
        <v>3771.612587747994</v>
      </c>
      <c r="AK86" s="78">
        <f t="shared" ca="1" si="120"/>
        <v>3304.6653287829013</v>
      </c>
      <c r="AL86" s="78">
        <f ca="1">AM86*AL9/AM9</f>
        <v>3752.7280192323979</v>
      </c>
      <c r="AM86" s="39">
        <f>Biosolids!Y36</f>
        <v>4973.9617224963476</v>
      </c>
      <c r="AN86" s="54">
        <f>AVERAGE(AO86,AM86)</f>
        <v>3494.5814931189984</v>
      </c>
      <c r="AO86" s="39">
        <f>Biosolids!O36</f>
        <v>2015.2012637416492</v>
      </c>
      <c r="AP86" s="54">
        <f>AVERAGE(AQ86,AO86)</f>
        <v>3328.6006318708246</v>
      </c>
      <c r="AQ86" s="39">
        <v>4642</v>
      </c>
      <c r="AR86" s="54">
        <f>AVERAGE(AS86,AQ86)</f>
        <v>4720.9221291696231</v>
      </c>
      <c r="AS86" s="39">
        <f>1.1/100*AS85</f>
        <v>4799.8442583392462</v>
      </c>
      <c r="AT86" s="39">
        <f>1.1/100*AT85</f>
        <v>4854.9021586826384</v>
      </c>
      <c r="AV86" s="78">
        <f t="shared" ref="AV86:AZ86" si="121">AW86*AV9/AW9</f>
        <v>222.9040192681282</v>
      </c>
      <c r="AW86" s="78">
        <f t="shared" si="121"/>
        <v>228.80752335377309</v>
      </c>
      <c r="AX86" s="78">
        <f t="shared" si="121"/>
        <v>235.04797820043456</v>
      </c>
      <c r="AY86" s="78">
        <f t="shared" si="121"/>
        <v>240.60079998934768</v>
      </c>
      <c r="AZ86" s="78">
        <f t="shared" si="121"/>
        <v>243.25838028626703</v>
      </c>
      <c r="BA86" s="78">
        <f>BB86*BA9/BB9</f>
        <v>245.97179136898495</v>
      </c>
      <c r="BB86" s="39">
        <f>Biosolids!Z36</f>
        <v>252.97667064631671</v>
      </c>
      <c r="BC86" s="54">
        <f>AVERAGE(BB86,BD86)</f>
        <v>126.48833532315835</v>
      </c>
      <c r="BD86" s="39">
        <f>Biosolids!P36</f>
        <v>0</v>
      </c>
      <c r="BE86" s="54">
        <f>AVERAGE(BD86,BF86)</f>
        <v>0</v>
      </c>
      <c r="BF86" s="39">
        <f>Biosolids!E36</f>
        <v>0</v>
      </c>
      <c r="BG86" s="54">
        <f>AVERAGE(BF86,BH86)</f>
        <v>0</v>
      </c>
      <c r="BH86" s="39">
        <v>0</v>
      </c>
      <c r="BI86" s="39">
        <v>0</v>
      </c>
      <c r="BK86" s="78">
        <f t="shared" ref="BK86:BO86" si="122">BL86*BK9/BL9</f>
        <v>0</v>
      </c>
      <c r="BL86" s="78">
        <f t="shared" si="122"/>
        <v>0</v>
      </c>
      <c r="BM86" s="78">
        <f t="shared" si="122"/>
        <v>0</v>
      </c>
      <c r="BN86" s="78">
        <f t="shared" si="122"/>
        <v>0</v>
      </c>
      <c r="BO86" s="78">
        <f t="shared" si="122"/>
        <v>0</v>
      </c>
      <c r="BP86" s="78">
        <f>BQ86*BP9/BQ9</f>
        <v>0</v>
      </c>
      <c r="BQ86" s="39">
        <f>Biosolids!AA36</f>
        <v>0</v>
      </c>
      <c r="BR86" s="54">
        <f>AVERAGE(BQ86,BS86)</f>
        <v>0</v>
      </c>
      <c r="BS86" s="39">
        <f>Biosolids!Q36</f>
        <v>0</v>
      </c>
      <c r="BT86" s="54">
        <f>AVERAGE(BS86,BU86)</f>
        <v>1678.3333333333335</v>
      </c>
      <c r="BU86" s="39">
        <f>Biosolids!F36</f>
        <v>3356.666666666667</v>
      </c>
      <c r="BV86" s="54">
        <f>AVERAGE(BU86,BW86)</f>
        <v>3356.666666666667</v>
      </c>
      <c r="BW86" s="39">
        <f>1/100*BW85</f>
        <v>3356.666666666667</v>
      </c>
      <c r="BX86" s="39">
        <f>1/100*BX85</f>
        <v>3408.7204601051367</v>
      </c>
      <c r="BZ86" s="78">
        <f t="shared" ref="BZ86:CD86" si="123">CA86*BZ9/CA9</f>
        <v>0</v>
      </c>
      <c r="CA86" s="78">
        <f t="shared" si="123"/>
        <v>0</v>
      </c>
      <c r="CB86" s="78">
        <f t="shared" si="123"/>
        <v>0</v>
      </c>
      <c r="CC86" s="78">
        <f t="shared" si="123"/>
        <v>0</v>
      </c>
      <c r="CD86" s="78">
        <f t="shared" si="123"/>
        <v>0</v>
      </c>
      <c r="CE86" s="78">
        <f>CF86*CE9/CF9</f>
        <v>0</v>
      </c>
      <c r="CF86" s="39">
        <f>Biosolids!AB36</f>
        <v>0</v>
      </c>
      <c r="CG86" s="54">
        <f>AVERAGE(CH86,CF86)</f>
        <v>0</v>
      </c>
      <c r="CH86" s="39">
        <f>Biosolids!R36</f>
        <v>0</v>
      </c>
      <c r="CI86" s="54">
        <f>AVERAGE(CJ86,CH86)</f>
        <v>0</v>
      </c>
      <c r="CJ86" s="39">
        <v>0</v>
      </c>
      <c r="CK86" s="54">
        <f>AVERAGE(CL86,CJ86)</f>
        <v>0</v>
      </c>
      <c r="CL86" s="39">
        <v>0</v>
      </c>
      <c r="CM86" s="39">
        <v>0</v>
      </c>
      <c r="CO86" s="78">
        <f t="shared" ref="CO86:CS86" si="124">CP86*CO9/CP9</f>
        <v>0</v>
      </c>
      <c r="CP86" s="78">
        <f t="shared" si="124"/>
        <v>0</v>
      </c>
      <c r="CQ86" s="78">
        <f t="shared" si="124"/>
        <v>0</v>
      </c>
      <c r="CR86" s="78">
        <f t="shared" si="124"/>
        <v>0</v>
      </c>
      <c r="CS86" s="78">
        <f t="shared" si="124"/>
        <v>0</v>
      </c>
      <c r="CT86" s="78">
        <f>CU86*CT9/CU9</f>
        <v>0</v>
      </c>
      <c r="CU86" s="39">
        <f>Biosolids!AC36</f>
        <v>0</v>
      </c>
      <c r="CV86" s="54">
        <f>AVERAGE(CU86,CW86)</f>
        <v>0</v>
      </c>
      <c r="CW86" s="39">
        <f>Biosolids!S36</f>
        <v>0</v>
      </c>
      <c r="CX86" s="54">
        <f>AVERAGE(CW86,CY86)</f>
        <v>0</v>
      </c>
      <c r="CY86" s="39">
        <v>0</v>
      </c>
      <c r="CZ86" s="54">
        <f>AVERAGE(CY86,DA86)</f>
        <v>0</v>
      </c>
      <c r="DA86" s="39">
        <v>0</v>
      </c>
      <c r="DB86" s="39">
        <v>0</v>
      </c>
      <c r="DD86" s="78">
        <f t="shared" ref="DD86:DH86" si="125">DE86*DD9/DE9</f>
        <v>0</v>
      </c>
      <c r="DE86" s="78">
        <f t="shared" si="125"/>
        <v>0</v>
      </c>
      <c r="DF86" s="78">
        <f t="shared" si="125"/>
        <v>0</v>
      </c>
      <c r="DG86" s="78">
        <f t="shared" si="125"/>
        <v>0</v>
      </c>
      <c r="DH86" s="78">
        <f t="shared" si="125"/>
        <v>0</v>
      </c>
      <c r="DI86" s="78">
        <f>DJ86*DI9/DJ9</f>
        <v>0</v>
      </c>
      <c r="DJ86" s="39">
        <f>Biosolids!AD36</f>
        <v>0</v>
      </c>
      <c r="DK86" s="54">
        <f>AVERAGE(DJ86,DL86)</f>
        <v>0</v>
      </c>
      <c r="DL86" s="39">
        <f>Biosolids!T36</f>
        <v>0</v>
      </c>
      <c r="DM86" s="54">
        <f>AVERAGE(DL86,DN86)</f>
        <v>0</v>
      </c>
      <c r="DN86" s="39">
        <f>Biosolids!I36</f>
        <v>0</v>
      </c>
      <c r="DO86" s="54">
        <f>AVERAGE(DN86,DP86)</f>
        <v>0</v>
      </c>
      <c r="DP86" s="39">
        <v>0</v>
      </c>
      <c r="DQ86" s="39">
        <v>0</v>
      </c>
      <c r="DS86" s="78">
        <f t="shared" ref="DS86:DW86" si="126">DT86*DS9/DT9</f>
        <v>1841.2174729263256</v>
      </c>
      <c r="DT86" s="78">
        <f t="shared" si="126"/>
        <v>1828.7190544267617</v>
      </c>
      <c r="DU86" s="78">
        <f t="shared" si="126"/>
        <v>1856.1529644614138</v>
      </c>
      <c r="DV86" s="78">
        <f t="shared" si="126"/>
        <v>1943.6355330038805</v>
      </c>
      <c r="DW86" s="78">
        <f t="shared" si="126"/>
        <v>2515.4678615130861</v>
      </c>
      <c r="DX86" s="78">
        <f>DY86*DX9/DY9</f>
        <v>2379.0121179215498</v>
      </c>
      <c r="DY86" s="39">
        <f>Biosolids!AE36</f>
        <v>2604.1661864965408</v>
      </c>
      <c r="DZ86" s="54">
        <f>AVERAGE(DY86,EA86)</f>
        <v>1302.0830932482704</v>
      </c>
      <c r="EA86" s="39">
        <f>Biosolids!U36</f>
        <v>0</v>
      </c>
      <c r="EB86" s="54">
        <f>AVERAGE(EA86,EC86)</f>
        <v>0</v>
      </c>
      <c r="EC86" s="39">
        <v>0</v>
      </c>
      <c r="ED86" s="54">
        <f>AVERAGE(EC86,EE86)</f>
        <v>0</v>
      </c>
      <c r="EE86" s="39">
        <v>0</v>
      </c>
      <c r="EF86" s="39">
        <v>0</v>
      </c>
      <c r="EH86" s="65"/>
      <c r="EI86" s="249"/>
    </row>
    <row r="87" spans="1:150" s="26" customFormat="1">
      <c r="C87" s="26" t="s">
        <v>625</v>
      </c>
    </row>
    <row r="88" spans="1:150" s="26" customFormat="1"/>
    <row r="89" spans="1:150" s="26" customFormat="1" hidden="1"/>
    <row r="90" spans="1:150" s="26" customFormat="1" ht="15.75" hidden="1">
      <c r="A90" s="57" t="s">
        <v>106</v>
      </c>
    </row>
    <row r="91" spans="1:150" s="26" customFormat="1" ht="15" hidden="1" customHeight="1">
      <c r="H91" s="61"/>
      <c r="J91" s="61"/>
    </row>
    <row r="92" spans="1:150" s="26" customFormat="1" ht="15" hidden="1" customHeight="1">
      <c r="H92" s="61"/>
      <c r="I92" s="70"/>
      <c r="J92" s="61"/>
      <c r="V92" s="66" t="s">
        <v>116</v>
      </c>
      <c r="AV92" s="66" t="s">
        <v>137</v>
      </c>
    </row>
    <row r="93" spans="1:150" s="26" customFormat="1" ht="15.75" hidden="1" customHeight="1">
      <c r="C93" s="60" t="s">
        <v>111</v>
      </c>
      <c r="H93" s="61"/>
      <c r="I93" s="70"/>
      <c r="J93" s="61"/>
      <c r="V93" s="85" t="s">
        <v>107</v>
      </c>
      <c r="W93" s="86"/>
      <c r="X93" s="86"/>
      <c r="Y93" s="87" t="s">
        <v>120</v>
      </c>
      <c r="Z93" s="86"/>
      <c r="AA93" s="86"/>
      <c r="AB93" s="87" t="s">
        <v>108</v>
      </c>
      <c r="AC93" s="87"/>
      <c r="AD93" s="87"/>
      <c r="AE93" s="87"/>
      <c r="AF93" s="86"/>
      <c r="AG93" s="86"/>
      <c r="AH93" s="86"/>
      <c r="AI93" s="86"/>
      <c r="AJ93" s="87" t="s">
        <v>109</v>
      </c>
      <c r="AK93" s="86"/>
      <c r="AL93" s="86"/>
      <c r="AM93" s="87" t="s">
        <v>110</v>
      </c>
      <c r="AN93" s="88"/>
      <c r="AV93" s="104" t="s">
        <v>107</v>
      </c>
      <c r="AW93" s="104" t="s">
        <v>120</v>
      </c>
      <c r="AX93" s="104" t="s">
        <v>108</v>
      </c>
      <c r="AY93" s="104" t="s">
        <v>109</v>
      </c>
      <c r="AZ93" s="104" t="s">
        <v>110</v>
      </c>
      <c r="BA93" s="90"/>
      <c r="BB93" s="90"/>
      <c r="BC93" s="90"/>
      <c r="BD93" s="90"/>
    </row>
    <row r="94" spans="1:150" s="62" customFormat="1" ht="26.25" hidden="1">
      <c r="B94" s="25"/>
      <c r="C94" s="63" t="s">
        <v>107</v>
      </c>
      <c r="D94" s="63" t="s">
        <v>112</v>
      </c>
      <c r="E94" s="64" t="s">
        <v>108</v>
      </c>
      <c r="F94" s="64" t="s">
        <v>109</v>
      </c>
      <c r="G94" s="64" t="s">
        <v>110</v>
      </c>
      <c r="H94" s="63" t="s">
        <v>113</v>
      </c>
      <c r="I94" s="79" t="s">
        <v>114</v>
      </c>
      <c r="J94" s="63" t="s">
        <v>115</v>
      </c>
      <c r="K94" s="69" t="s">
        <v>135</v>
      </c>
      <c r="L94" s="26"/>
      <c r="M94" s="26"/>
      <c r="N94" s="26"/>
      <c r="O94" s="26"/>
      <c r="P94" s="26"/>
      <c r="Q94" s="25"/>
      <c r="R94" s="26"/>
      <c r="S94" s="26"/>
      <c r="T94" s="26"/>
      <c r="U94" s="26"/>
      <c r="V94" s="89" t="s">
        <v>118</v>
      </c>
      <c r="W94" s="90"/>
      <c r="X94" s="90"/>
      <c r="Y94" s="91" t="s">
        <v>119</v>
      </c>
      <c r="Z94" s="92"/>
      <c r="AA94" s="93"/>
      <c r="AB94" s="91" t="s">
        <v>121</v>
      </c>
      <c r="AC94" s="91"/>
      <c r="AD94" s="91"/>
      <c r="AE94" s="91"/>
      <c r="AF94" s="90"/>
      <c r="AG94" s="90"/>
      <c r="AH94" s="92"/>
      <c r="AI94" s="94"/>
      <c r="AJ94" s="91" t="s">
        <v>118</v>
      </c>
      <c r="AK94" s="94"/>
      <c r="AL94" s="94"/>
      <c r="AM94" s="91" t="s">
        <v>117</v>
      </c>
      <c r="AN94" s="95"/>
      <c r="BA94" s="68"/>
      <c r="BB94" s="68"/>
      <c r="BC94" s="68"/>
      <c r="BD94" s="68"/>
      <c r="BE94" s="68"/>
      <c r="BF94" s="68"/>
      <c r="BG94" s="68"/>
      <c r="BH94" s="68"/>
      <c r="BI94" s="68"/>
      <c r="BJ94" s="68"/>
      <c r="BK94" s="68"/>
      <c r="BL94" s="68"/>
      <c r="BM94" s="68"/>
      <c r="BO94" s="67"/>
      <c r="BP94" s="68"/>
      <c r="BQ94" s="68"/>
      <c r="BR94" s="68"/>
      <c r="BS94" s="26"/>
      <c r="BT94" s="26"/>
      <c r="BU94" s="26"/>
      <c r="BV94" s="26"/>
      <c r="BW94" s="26"/>
      <c r="BX94" s="26"/>
      <c r="BY94" s="26"/>
      <c r="BZ94" s="26"/>
      <c r="CA94" s="26"/>
      <c r="CB94" s="26"/>
      <c r="CD94" s="26"/>
      <c r="CE94" s="26"/>
      <c r="CF94" s="26"/>
      <c r="CG94" s="26"/>
      <c r="CH94" s="26"/>
      <c r="CI94" s="26"/>
    </row>
    <row r="95" spans="1:150" s="26" customFormat="1" hidden="1">
      <c r="A95" s="27" t="s">
        <v>0</v>
      </c>
      <c r="B95" s="28"/>
      <c r="C95" s="8">
        <v>2.65</v>
      </c>
      <c r="D95" s="8">
        <v>4898.868999999997</v>
      </c>
      <c r="E95" s="8">
        <v>28.369999999999997</v>
      </c>
      <c r="F95" s="8">
        <v>0</v>
      </c>
      <c r="G95" s="8">
        <v>2213.5079999999989</v>
      </c>
      <c r="H95" s="65">
        <f>SUM(C95:G95)</f>
        <v>7143.3969999999954</v>
      </c>
      <c r="I95" s="65" t="e">
        <f>SUM(#REF!,#REF!,#REF!,#REF!,#REF!)</f>
        <v>#REF!</v>
      </c>
      <c r="J95" s="80">
        <f>IFERROR(I95/H95,1)</f>
        <v>1</v>
      </c>
      <c r="K95" s="82">
        <f t="shared" ref="K95:K126" si="127">IF(AND(H95&gt;5000,ISNUMBER(J95),OR(J95&gt;1.1,J95&lt;0.9)),J95,1)</f>
        <v>1</v>
      </c>
      <c r="Q95" s="28"/>
      <c r="V95" s="96" t="str">
        <f>IFERROR(AVERAGE(AQ10/#REF!,AO10/#REF!),"")</f>
        <v/>
      </c>
      <c r="W95" s="90"/>
      <c r="X95" s="90"/>
      <c r="Y95" s="97" t="str">
        <f>IFERROR(AVERAGE(BT10/#REF!,BS10/#REF!),"")</f>
        <v/>
      </c>
      <c r="Z95" s="90"/>
      <c r="AA95" s="90"/>
      <c r="AB95" s="97" t="str">
        <f>IFERROR(CH10/#REF!,"")</f>
        <v/>
      </c>
      <c r="AC95" s="97"/>
      <c r="AD95" s="97"/>
      <c r="AE95" s="97"/>
      <c r="AF95" s="90"/>
      <c r="AG95" s="90"/>
      <c r="AH95" s="90"/>
      <c r="AI95" s="90"/>
      <c r="AJ95" s="97" t="str">
        <f>IFERROR(AVERAGE(DN10/#REF!,DL10/#REF!),"")</f>
        <v/>
      </c>
      <c r="AK95" s="90"/>
      <c r="AL95" s="90"/>
      <c r="AM95" s="97" t="str">
        <f>IFERROR(AVERAGE(EC10/#REF!,EA10/#REF!),"")</f>
        <v/>
      </c>
      <c r="AN95" s="98"/>
    </row>
    <row r="96" spans="1:150" s="26" customFormat="1" hidden="1">
      <c r="A96" s="27" t="s">
        <v>67</v>
      </c>
      <c r="B96" s="27"/>
      <c r="C96" s="8">
        <v>0</v>
      </c>
      <c r="D96" s="8">
        <v>11.818</v>
      </c>
      <c r="E96" s="8" t="s">
        <v>75</v>
      </c>
      <c r="F96" s="8">
        <v>0</v>
      </c>
      <c r="G96" s="8">
        <v>0</v>
      </c>
      <c r="H96" s="65">
        <f t="shared" ref="H96:H159" si="128">SUM(C96:G96)</f>
        <v>11.818</v>
      </c>
      <c r="I96" s="65" t="e">
        <f>SUM(#REF!,#REF!,#REF!,#REF!,#REF!)</f>
        <v>#REF!</v>
      </c>
      <c r="J96" s="80">
        <f t="shared" ref="J96:J159" si="129">IFERROR(I96/H96,1)</f>
        <v>1</v>
      </c>
      <c r="K96" s="83">
        <f t="shared" si="127"/>
        <v>1</v>
      </c>
      <c r="Q96" s="27"/>
      <c r="V96" s="96" t="str">
        <f>IFERROR(AVERAGE(AQ11/#REF!,AO11/#REF!),"")</f>
        <v/>
      </c>
      <c r="W96" s="90"/>
      <c r="X96" s="90"/>
      <c r="Y96" s="97" t="str">
        <f>IFERROR(AVERAGE(BT11/#REF!,BS11/#REF!),"")</f>
        <v/>
      </c>
      <c r="Z96" s="90"/>
      <c r="AA96" s="90"/>
      <c r="AB96" s="97" t="str">
        <f>IFERROR(CH11/#REF!,"")</f>
        <v/>
      </c>
      <c r="AC96" s="97"/>
      <c r="AD96" s="97"/>
      <c r="AE96" s="97"/>
      <c r="AF96" s="90"/>
      <c r="AG96" s="90"/>
      <c r="AH96" s="90"/>
      <c r="AI96" s="90"/>
      <c r="AJ96" s="97" t="str">
        <f>IFERROR(AVERAGE(DN11/#REF!,DL11/#REF!),"")</f>
        <v/>
      </c>
      <c r="AK96" s="90"/>
      <c r="AL96" s="90"/>
      <c r="AM96" s="97" t="str">
        <f>IFERROR(AVERAGE(EC11/#REF!,EA11/#REF!),"")</f>
        <v/>
      </c>
      <c r="AN96" s="98"/>
    </row>
    <row r="97" spans="1:40" s="26" customFormat="1" hidden="1">
      <c r="A97" s="27" t="s">
        <v>56</v>
      </c>
      <c r="B97" s="27"/>
      <c r="C97" s="8">
        <v>13.928000000000001</v>
      </c>
      <c r="D97" s="8">
        <v>5.6369999999999996</v>
      </c>
      <c r="E97" s="8">
        <v>8.8249999999999993</v>
      </c>
      <c r="F97" s="8">
        <v>6.5069999999999997</v>
      </c>
      <c r="G97" s="8">
        <v>0.86</v>
      </c>
      <c r="H97" s="65">
        <f t="shared" si="128"/>
        <v>35.756999999999998</v>
      </c>
      <c r="I97" s="65" t="e">
        <f>SUM(#REF!,#REF!,#REF!,#REF!,#REF!)</f>
        <v>#REF!</v>
      </c>
      <c r="J97" s="80">
        <f t="shared" si="129"/>
        <v>1</v>
      </c>
      <c r="K97" s="83">
        <f t="shared" si="127"/>
        <v>1</v>
      </c>
      <c r="Q97" s="27"/>
      <c r="V97" s="96" t="str">
        <f>IFERROR(AVERAGE(AQ12/#REF!,AO12/#REF!),"")</f>
        <v/>
      </c>
      <c r="W97" s="90"/>
      <c r="X97" s="90"/>
      <c r="Y97" s="97" t="str">
        <f>IFERROR(AVERAGE(BT12/#REF!,BS12/#REF!),"")</f>
        <v/>
      </c>
      <c r="Z97" s="90"/>
      <c r="AA97" s="90"/>
      <c r="AB97" s="97" t="str">
        <f>IFERROR(CH12/#REF!,"")</f>
        <v/>
      </c>
      <c r="AC97" s="97"/>
      <c r="AD97" s="97"/>
      <c r="AE97" s="97"/>
      <c r="AF97" s="90"/>
      <c r="AG97" s="90"/>
      <c r="AH97" s="90"/>
      <c r="AI97" s="90"/>
      <c r="AJ97" s="97" t="str">
        <f>IFERROR(AVERAGE(DN12/#REF!,DL12/#REF!),"")</f>
        <v/>
      </c>
      <c r="AK97" s="90"/>
      <c r="AL97" s="90"/>
      <c r="AM97" s="97" t="str">
        <f>IFERROR(AVERAGE(EC12/#REF!,EA12/#REF!),"")</f>
        <v/>
      </c>
      <c r="AN97" s="98"/>
    </row>
    <row r="98" spans="1:40" s="26" customFormat="1" hidden="1">
      <c r="A98" s="27" t="s">
        <v>1</v>
      </c>
      <c r="B98" s="28"/>
      <c r="C98" s="8">
        <v>25632.091215999993</v>
      </c>
      <c r="D98" s="8">
        <v>10037.823000000002</v>
      </c>
      <c r="E98" s="8">
        <v>1538.0156499999996</v>
      </c>
      <c r="F98" s="8">
        <v>29041.09200000003</v>
      </c>
      <c r="G98" s="8">
        <v>1908.5175310000004</v>
      </c>
      <c r="H98" s="65">
        <f t="shared" si="128"/>
        <v>68157.53939700003</v>
      </c>
      <c r="I98" s="65" t="e">
        <f>SUM(#REF!,#REF!,#REF!,#REF!,#REF!)</f>
        <v>#REF!</v>
      </c>
      <c r="J98" s="80">
        <f t="shared" si="129"/>
        <v>1</v>
      </c>
      <c r="K98" s="83">
        <f t="shared" si="127"/>
        <v>1</v>
      </c>
      <c r="Q98" s="28"/>
      <c r="V98" s="96" t="str">
        <f>IFERROR(AVERAGE(AQ13/#REF!,AO13/#REF!),"")</f>
        <v/>
      </c>
      <c r="W98" s="90"/>
      <c r="X98" s="90"/>
      <c r="Y98" s="97" t="str">
        <f>IFERROR(AVERAGE(BT13/#REF!,BS13/#REF!),"")</f>
        <v/>
      </c>
      <c r="Z98" s="90"/>
      <c r="AA98" s="90"/>
      <c r="AB98" s="97" t="str">
        <f>IFERROR(CH13/#REF!,"")</f>
        <v/>
      </c>
      <c r="AC98" s="97"/>
      <c r="AD98" s="97"/>
      <c r="AE98" s="97"/>
      <c r="AF98" s="90"/>
      <c r="AG98" s="90"/>
      <c r="AH98" s="90"/>
      <c r="AI98" s="90"/>
      <c r="AJ98" s="97" t="str">
        <f>IFERROR(AVERAGE(DN13/#REF!,DL13/#REF!),"")</f>
        <v/>
      </c>
      <c r="AK98" s="90"/>
      <c r="AL98" s="90"/>
      <c r="AM98" s="97" t="str">
        <f>IFERROR(AVERAGE(EC13/#REF!,EA13/#REF!),"")</f>
        <v/>
      </c>
      <c r="AN98" s="98"/>
    </row>
    <row r="99" spans="1:40" s="26" customFormat="1" hidden="1">
      <c r="A99" s="27" t="s">
        <v>2</v>
      </c>
      <c r="B99" s="27"/>
      <c r="C99" s="8">
        <v>11662.638300000006</v>
      </c>
      <c r="D99" s="8">
        <v>88992.590999999986</v>
      </c>
      <c r="E99" s="8">
        <v>16663.473815000005</v>
      </c>
      <c r="F99" s="8">
        <v>6296.9170000000022</v>
      </c>
      <c r="G99" s="8">
        <v>79994.448599999945</v>
      </c>
      <c r="H99" s="65">
        <f t="shared" si="128"/>
        <v>203610.06871499994</v>
      </c>
      <c r="I99" s="65" t="e">
        <f>SUM(#REF!,#REF!,#REF!,#REF!,#REF!)</f>
        <v>#REF!</v>
      </c>
      <c r="J99" s="80">
        <f t="shared" si="129"/>
        <v>1</v>
      </c>
      <c r="K99" s="83">
        <f t="shared" si="127"/>
        <v>1</v>
      </c>
      <c r="Q99" s="27"/>
      <c r="V99" s="96" t="str">
        <f>IFERROR(AVERAGE(AQ14/#REF!,AO14/#REF!),"")</f>
        <v/>
      </c>
      <c r="W99" s="90"/>
      <c r="X99" s="90"/>
      <c r="Y99" s="97" t="str">
        <f>IFERROR(AVERAGE(BT14/#REF!,BS14/#REF!),"")</f>
        <v/>
      </c>
      <c r="Z99" s="90"/>
      <c r="AA99" s="90"/>
      <c r="AB99" s="97" t="str">
        <f>IFERROR(CH14/#REF!,"")</f>
        <v/>
      </c>
      <c r="AC99" s="97"/>
      <c r="AD99" s="97"/>
      <c r="AE99" s="97"/>
      <c r="AF99" s="90"/>
      <c r="AG99" s="90"/>
      <c r="AH99" s="90"/>
      <c r="AI99" s="90"/>
      <c r="AJ99" s="97" t="str">
        <f>IFERROR(AVERAGE(DN14/#REF!,DL14/#REF!),"")</f>
        <v/>
      </c>
      <c r="AK99" s="90"/>
      <c r="AL99" s="90"/>
      <c r="AM99" s="97" t="str">
        <f>IFERROR(AVERAGE(EC14/#REF!,EA14/#REF!),"")</f>
        <v/>
      </c>
      <c r="AN99" s="98"/>
    </row>
    <row r="100" spans="1:40" s="26" customFormat="1" hidden="1">
      <c r="A100" s="27" t="s">
        <v>3</v>
      </c>
      <c r="B100" s="27"/>
      <c r="C100" s="8">
        <v>0</v>
      </c>
      <c r="D100" s="8">
        <v>182.25500000000002</v>
      </c>
      <c r="E100" s="8">
        <v>0</v>
      </c>
      <c r="F100" s="8">
        <v>3.4400000000000004</v>
      </c>
      <c r="G100" s="8">
        <v>35.049999999999997</v>
      </c>
      <c r="H100" s="65">
        <f t="shared" si="128"/>
        <v>220.745</v>
      </c>
      <c r="I100" s="65" t="e">
        <f>SUM(#REF!,#REF!,#REF!,#REF!,#REF!)</f>
        <v>#REF!</v>
      </c>
      <c r="J100" s="80">
        <f t="shared" si="129"/>
        <v>1</v>
      </c>
      <c r="K100" s="83">
        <f t="shared" si="127"/>
        <v>1</v>
      </c>
      <c r="Q100" s="27"/>
      <c r="V100" s="96" t="str">
        <f>IFERROR(AVERAGE(AQ15/#REF!,AO15/#REF!),"")</f>
        <v/>
      </c>
      <c r="W100" s="90"/>
      <c r="X100" s="90"/>
      <c r="Y100" s="97" t="str">
        <f>IFERROR(AVERAGE(BT15/#REF!,BS15/#REF!),"")</f>
        <v/>
      </c>
      <c r="Z100" s="90"/>
      <c r="AA100" s="90"/>
      <c r="AB100" s="97" t="str">
        <f>IFERROR(CH15/#REF!,"")</f>
        <v/>
      </c>
      <c r="AC100" s="97"/>
      <c r="AD100" s="97"/>
      <c r="AE100" s="97"/>
      <c r="AF100" s="90"/>
      <c r="AG100" s="90"/>
      <c r="AH100" s="90"/>
      <c r="AI100" s="90"/>
      <c r="AJ100" s="97" t="str">
        <f>IFERROR(AVERAGE(DN15/#REF!,DL15/#REF!),"")</f>
        <v/>
      </c>
      <c r="AK100" s="90"/>
      <c r="AL100" s="90"/>
      <c r="AM100" s="97" t="str">
        <f>IFERROR(AVERAGE(EC15/#REF!,EA15/#REF!),"")</f>
        <v/>
      </c>
      <c r="AN100" s="98"/>
    </row>
    <row r="101" spans="1:40" s="26" customFormat="1" hidden="1">
      <c r="A101" s="27" t="s">
        <v>4</v>
      </c>
      <c r="B101" s="27"/>
      <c r="C101" s="41">
        <v>16.875999999999998</v>
      </c>
      <c r="D101" s="8">
        <v>1906.4289999999999</v>
      </c>
      <c r="E101" s="8">
        <v>1.8995000000000002</v>
      </c>
      <c r="F101" s="41">
        <v>16342.149999999996</v>
      </c>
      <c r="G101" s="8">
        <v>48.1</v>
      </c>
      <c r="H101" s="65">
        <f t="shared" si="128"/>
        <v>18315.454499999993</v>
      </c>
      <c r="I101" s="65" t="e">
        <f>SUM(AQ16,BT16,#REF!,DN16,#REF!)</f>
        <v>#REF!</v>
      </c>
      <c r="J101" s="80">
        <f t="shared" si="129"/>
        <v>1</v>
      </c>
      <c r="K101" s="83">
        <f t="shared" si="127"/>
        <v>1</v>
      </c>
      <c r="Q101" s="27"/>
      <c r="V101" s="99"/>
      <c r="W101" s="90"/>
      <c r="X101" s="90"/>
      <c r="Y101" s="90"/>
      <c r="Z101" s="90"/>
      <c r="AA101" s="90"/>
      <c r="AB101" s="97" t="str">
        <f>IFERROR(CH16/#REF!,"")</f>
        <v/>
      </c>
      <c r="AC101" s="97"/>
      <c r="AD101" s="97"/>
      <c r="AE101" s="97"/>
      <c r="AF101" s="90"/>
      <c r="AG101" s="90"/>
      <c r="AH101" s="90"/>
      <c r="AI101" s="90"/>
      <c r="AJ101" s="90"/>
      <c r="AK101" s="90"/>
      <c r="AL101" s="90"/>
      <c r="AM101" s="97" t="str">
        <f>IFERROR(AVERAGE(EC16/#REF!,EA16/#REF!),"")</f>
        <v/>
      </c>
      <c r="AN101" s="98"/>
    </row>
    <row r="102" spans="1:40" s="26" customFormat="1" hidden="1">
      <c r="A102" s="27" t="s">
        <v>5</v>
      </c>
      <c r="B102" s="28"/>
      <c r="C102" s="8">
        <v>182.69935000000015</v>
      </c>
      <c r="D102" s="8">
        <v>284.40000000000003</v>
      </c>
      <c r="E102" s="8">
        <v>63.569054999999985</v>
      </c>
      <c r="F102" s="8">
        <v>99.301999999999992</v>
      </c>
      <c r="G102" s="8">
        <v>227.8474509999993</v>
      </c>
      <c r="H102" s="65">
        <f t="shared" si="128"/>
        <v>857.81785599999944</v>
      </c>
      <c r="I102" s="65" t="e">
        <f>SUM(#REF!,#REF!,#REF!,#REF!,#REF!)</f>
        <v>#REF!</v>
      </c>
      <c r="J102" s="80">
        <f t="shared" si="129"/>
        <v>1</v>
      </c>
      <c r="K102" s="83">
        <f t="shared" si="127"/>
        <v>1</v>
      </c>
      <c r="Q102" s="28"/>
      <c r="V102" s="96" t="str">
        <f>IFERROR(AVERAGE(AQ17/#REF!,AO17/#REF!),"")</f>
        <v/>
      </c>
      <c r="W102" s="90"/>
      <c r="X102" s="90"/>
      <c r="Y102" s="97" t="str">
        <f>IFERROR(AVERAGE(BT17/#REF!,BS17/#REF!),"")</f>
        <v/>
      </c>
      <c r="Z102" s="90"/>
      <c r="AA102" s="90"/>
      <c r="AB102" s="97" t="str">
        <f>IFERROR(CH17/#REF!,"")</f>
        <v/>
      </c>
      <c r="AC102" s="97"/>
      <c r="AD102" s="97"/>
      <c r="AE102" s="97"/>
      <c r="AF102" s="90"/>
      <c r="AG102" s="90"/>
      <c r="AH102" s="90"/>
      <c r="AI102" s="90"/>
      <c r="AJ102" s="97" t="str">
        <f>IFERROR(AVERAGE(DN17/#REF!,DL17/#REF!),"")</f>
        <v/>
      </c>
      <c r="AK102" s="90"/>
      <c r="AL102" s="90"/>
      <c r="AM102" s="97" t="str">
        <f>IFERROR(AVERAGE(EC17/#REF!,EA17/#REF!),"")</f>
        <v/>
      </c>
      <c r="AN102" s="98"/>
    </row>
    <row r="103" spans="1:40" s="26" customFormat="1" hidden="1">
      <c r="A103" s="27" t="s">
        <v>6</v>
      </c>
      <c r="B103" s="27"/>
      <c r="C103" s="8">
        <v>8.8129999999999988</v>
      </c>
      <c r="D103" s="8">
        <v>290.94900000000001</v>
      </c>
      <c r="E103" s="8">
        <v>13.496500000000001</v>
      </c>
      <c r="F103" s="8">
        <v>42.55</v>
      </c>
      <c r="G103" s="8">
        <v>13.34</v>
      </c>
      <c r="H103" s="65">
        <f t="shared" si="128"/>
        <v>369.14850000000001</v>
      </c>
      <c r="I103" s="65" t="e">
        <f>SUM(#REF!,#REF!,#REF!,#REF!,#REF!)</f>
        <v>#REF!</v>
      </c>
      <c r="J103" s="80">
        <f t="shared" si="129"/>
        <v>1</v>
      </c>
      <c r="K103" s="83">
        <f t="shared" si="127"/>
        <v>1</v>
      </c>
      <c r="Q103" s="27"/>
      <c r="V103" s="96" t="str">
        <f>IFERROR(AVERAGE(AQ18/#REF!,AO18/#REF!),"")</f>
        <v/>
      </c>
      <c r="W103" s="90"/>
      <c r="X103" s="90"/>
      <c r="Y103" s="97" t="str">
        <f>IFERROR(AVERAGE(BT18/#REF!,BS18/#REF!),"")</f>
        <v/>
      </c>
      <c r="Z103" s="90"/>
      <c r="AA103" s="90"/>
      <c r="AB103" s="97" t="str">
        <f>IFERROR(CH18/#REF!,"")</f>
        <v/>
      </c>
      <c r="AC103" s="97"/>
      <c r="AD103" s="97"/>
      <c r="AE103" s="97"/>
      <c r="AF103" s="90"/>
      <c r="AG103" s="90"/>
      <c r="AH103" s="90"/>
      <c r="AI103" s="90"/>
      <c r="AJ103" s="97" t="str">
        <f>IFERROR(AVERAGE(DN18/#REF!,DL18/#REF!),"")</f>
        <v/>
      </c>
      <c r="AK103" s="90"/>
      <c r="AL103" s="90"/>
      <c r="AM103" s="97" t="str">
        <f>IFERROR(AVERAGE(EC18/#REF!,EA18/#REF!),"")</f>
        <v/>
      </c>
      <c r="AN103" s="98"/>
    </row>
    <row r="104" spans="1:40" s="26" customFormat="1" hidden="1">
      <c r="A104" s="27" t="s">
        <v>7</v>
      </c>
      <c r="B104" s="27"/>
      <c r="C104" s="8">
        <v>332.48099999999994</v>
      </c>
      <c r="D104" s="8">
        <v>810.67999999999984</v>
      </c>
      <c r="E104" s="8">
        <v>49.841999999999999</v>
      </c>
      <c r="F104" s="8">
        <v>93.45</v>
      </c>
      <c r="G104" s="8">
        <v>149.05099999999999</v>
      </c>
      <c r="H104" s="65">
        <f t="shared" si="128"/>
        <v>1435.5039999999999</v>
      </c>
      <c r="I104" s="65" t="e">
        <f>SUM(#REF!,#REF!,#REF!,#REF!,#REF!)</f>
        <v>#REF!</v>
      </c>
      <c r="J104" s="80">
        <f t="shared" si="129"/>
        <v>1</v>
      </c>
      <c r="K104" s="83">
        <f t="shared" si="127"/>
        <v>1</v>
      </c>
      <c r="Q104" s="27"/>
      <c r="V104" s="96" t="str">
        <f>IFERROR(AVERAGE(AQ19/#REF!,AO19/#REF!),"")</f>
        <v/>
      </c>
      <c r="W104" s="90"/>
      <c r="X104" s="90"/>
      <c r="Y104" s="97" t="str">
        <f>IFERROR(AVERAGE(BT19/#REF!,BS19/#REF!),"")</f>
        <v/>
      </c>
      <c r="Z104" s="90"/>
      <c r="AA104" s="90"/>
      <c r="AB104" s="97" t="str">
        <f>IFERROR(CH19/#REF!,"")</f>
        <v/>
      </c>
      <c r="AC104" s="97"/>
      <c r="AD104" s="97"/>
      <c r="AE104" s="97"/>
      <c r="AF104" s="90"/>
      <c r="AG104" s="90"/>
      <c r="AH104" s="90"/>
      <c r="AI104" s="90"/>
      <c r="AJ104" s="97" t="str">
        <f>IFERROR(AVERAGE(DN19/#REF!,DL19/#REF!),"")</f>
        <v/>
      </c>
      <c r="AK104" s="90"/>
      <c r="AL104" s="90"/>
      <c r="AM104" s="97" t="str">
        <f>IFERROR(AVERAGE(EC19/#REF!,EA19/#REF!),"")</f>
        <v/>
      </c>
      <c r="AN104" s="98"/>
    </row>
    <row r="105" spans="1:40" s="26" customFormat="1" hidden="1">
      <c r="A105" s="27" t="s">
        <v>8</v>
      </c>
      <c r="B105" s="27"/>
      <c r="C105" s="8">
        <v>1.45</v>
      </c>
      <c r="D105" s="8">
        <v>194.26600000000002</v>
      </c>
      <c r="E105" s="8">
        <v>11.414999999999999</v>
      </c>
      <c r="F105" s="8">
        <v>23.114000000000001</v>
      </c>
      <c r="G105" s="8">
        <v>30.118000000000009</v>
      </c>
      <c r="H105" s="65">
        <f t="shared" si="128"/>
        <v>260.363</v>
      </c>
      <c r="I105" s="65" t="e">
        <f>SUM(#REF!,#REF!,#REF!,#REF!,#REF!)</f>
        <v>#REF!</v>
      </c>
      <c r="J105" s="80">
        <f t="shared" si="129"/>
        <v>1</v>
      </c>
      <c r="K105" s="83">
        <f t="shared" si="127"/>
        <v>1</v>
      </c>
      <c r="Q105" s="27"/>
      <c r="V105" s="96" t="str">
        <f>IFERROR(AVERAGE(AQ20/#REF!,AO20/#REF!),"")</f>
        <v/>
      </c>
      <c r="W105" s="90"/>
      <c r="X105" s="90"/>
      <c r="Y105" s="97" t="str">
        <f>IFERROR(AVERAGE(BT20/#REF!,BS20/#REF!),"")</f>
        <v/>
      </c>
      <c r="Z105" s="90"/>
      <c r="AA105" s="90"/>
      <c r="AB105" s="97" t="str">
        <f>IFERROR(CH20/#REF!,"")</f>
        <v/>
      </c>
      <c r="AC105" s="97"/>
      <c r="AD105" s="97"/>
      <c r="AE105" s="97"/>
      <c r="AF105" s="90"/>
      <c r="AG105" s="90"/>
      <c r="AH105" s="90"/>
      <c r="AI105" s="90"/>
      <c r="AJ105" s="97" t="str">
        <f>IFERROR(AVERAGE(DN20/#REF!,DL20/#REF!),"")</f>
        <v/>
      </c>
      <c r="AK105" s="90"/>
      <c r="AL105" s="90"/>
      <c r="AM105" s="97" t="str">
        <f>IFERROR(AVERAGE(EC20/#REF!,EA20/#REF!),"")</f>
        <v/>
      </c>
      <c r="AN105" s="98"/>
    </row>
    <row r="106" spans="1:40" s="26" customFormat="1" hidden="1">
      <c r="A106" s="27" t="s">
        <v>9</v>
      </c>
      <c r="B106" s="28"/>
      <c r="C106" s="8">
        <v>0</v>
      </c>
      <c r="D106" s="8">
        <v>27.080000000000005</v>
      </c>
      <c r="E106" s="8">
        <v>0</v>
      </c>
      <c r="F106" s="8">
        <v>0.01</v>
      </c>
      <c r="G106" s="8">
        <v>0</v>
      </c>
      <c r="H106" s="65">
        <f t="shared" si="128"/>
        <v>27.090000000000007</v>
      </c>
      <c r="I106" s="65" t="e">
        <f>SUM(#REF!,#REF!,#REF!,#REF!,#REF!)</f>
        <v>#REF!</v>
      </c>
      <c r="J106" s="80">
        <f t="shared" si="129"/>
        <v>1</v>
      </c>
      <c r="K106" s="83">
        <f t="shared" si="127"/>
        <v>1</v>
      </c>
      <c r="Q106" s="28"/>
      <c r="V106" s="96" t="str">
        <f>IFERROR(AVERAGE(AQ21/#REF!,AO21/#REF!),"")</f>
        <v/>
      </c>
      <c r="W106" s="90"/>
      <c r="X106" s="90"/>
      <c r="Y106" s="97" t="str">
        <f>IFERROR(AVERAGE(BT21/#REF!,BS21/#REF!),"")</f>
        <v/>
      </c>
      <c r="Z106" s="90"/>
      <c r="AA106" s="90"/>
      <c r="AB106" s="97" t="str">
        <f>IFERROR(CH21/#REF!,"")</f>
        <v/>
      </c>
      <c r="AC106" s="97"/>
      <c r="AD106" s="97"/>
      <c r="AE106" s="97"/>
      <c r="AF106" s="90"/>
      <c r="AG106" s="90"/>
      <c r="AH106" s="90"/>
      <c r="AI106" s="90"/>
      <c r="AJ106" s="97" t="str">
        <f>IFERROR(AVERAGE(DN21/#REF!,DL21/#REF!),"")</f>
        <v/>
      </c>
      <c r="AK106" s="90"/>
      <c r="AL106" s="90"/>
      <c r="AM106" s="97" t="str">
        <f>IFERROR(AVERAGE(EC21/#REF!,EA21/#REF!),"")</f>
        <v/>
      </c>
      <c r="AN106" s="98"/>
    </row>
    <row r="107" spans="1:40" s="26" customFormat="1" hidden="1">
      <c r="A107" s="27" t="s">
        <v>10</v>
      </c>
      <c r="B107" s="27"/>
      <c r="C107" s="8">
        <v>0</v>
      </c>
      <c r="D107" s="8">
        <v>0</v>
      </c>
      <c r="E107" s="8">
        <v>8.0500000000000002E-2</v>
      </c>
      <c r="F107" s="8">
        <v>105.10000000000001</v>
      </c>
      <c r="G107" s="8">
        <v>0</v>
      </c>
      <c r="H107" s="65">
        <f t="shared" si="128"/>
        <v>105.18050000000001</v>
      </c>
      <c r="I107" s="65" t="e">
        <f>SUM(#REF!,#REF!,#REF!,#REF!,#REF!)</f>
        <v>#REF!</v>
      </c>
      <c r="J107" s="80">
        <f t="shared" si="129"/>
        <v>1</v>
      </c>
      <c r="K107" s="83">
        <f t="shared" si="127"/>
        <v>1</v>
      </c>
      <c r="Q107" s="27"/>
      <c r="V107" s="96" t="str">
        <f>IFERROR(AVERAGE(AQ22/#REF!,AO22/#REF!),"")</f>
        <v/>
      </c>
      <c r="W107" s="90"/>
      <c r="X107" s="90"/>
      <c r="Y107" s="97" t="str">
        <f>IFERROR(AVERAGE(BT22/#REF!,BS22/#REF!),"")</f>
        <v/>
      </c>
      <c r="Z107" s="90"/>
      <c r="AA107" s="90"/>
      <c r="AB107" s="97" t="str">
        <f>IFERROR(CH22/#REF!,"")</f>
        <v/>
      </c>
      <c r="AC107" s="97"/>
      <c r="AD107" s="97"/>
      <c r="AE107" s="97"/>
      <c r="AF107" s="90"/>
      <c r="AG107" s="90"/>
      <c r="AH107" s="90"/>
      <c r="AI107" s="90"/>
      <c r="AJ107" s="97" t="str">
        <f>IFERROR(AVERAGE(DN22/#REF!,DL22/#REF!),"")</f>
        <v/>
      </c>
      <c r="AK107" s="90"/>
      <c r="AL107" s="90"/>
      <c r="AM107" s="97" t="str">
        <f>IFERROR(AVERAGE(EC22/#REF!,EA22/#REF!),"")</f>
        <v/>
      </c>
      <c r="AN107" s="98"/>
    </row>
    <row r="108" spans="1:40" s="26" customFormat="1" hidden="1">
      <c r="A108" s="27" t="s">
        <v>68</v>
      </c>
      <c r="B108" s="27"/>
      <c r="C108" s="8">
        <v>0</v>
      </c>
      <c r="D108" s="8">
        <v>0</v>
      </c>
      <c r="E108" s="8">
        <v>0</v>
      </c>
      <c r="F108" s="8">
        <v>0.08</v>
      </c>
      <c r="G108" s="8">
        <v>0</v>
      </c>
      <c r="H108" s="65">
        <f t="shared" si="128"/>
        <v>0.08</v>
      </c>
      <c r="I108" s="65" t="e">
        <f>SUM(#REF!,#REF!,#REF!,#REF!,#REF!)</f>
        <v>#REF!</v>
      </c>
      <c r="J108" s="80">
        <f t="shared" si="129"/>
        <v>1</v>
      </c>
      <c r="K108" s="83">
        <f t="shared" si="127"/>
        <v>1</v>
      </c>
      <c r="Q108" s="27"/>
      <c r="V108" s="96" t="str">
        <f>IFERROR(AVERAGE(AQ23/#REF!,AO23/#REF!),"")</f>
        <v/>
      </c>
      <c r="W108" s="90"/>
      <c r="X108" s="90"/>
      <c r="Y108" s="97" t="str">
        <f>IFERROR(AVERAGE(BT23/#REF!,BS23/#REF!),"")</f>
        <v/>
      </c>
      <c r="Z108" s="90"/>
      <c r="AA108" s="90"/>
      <c r="AB108" s="97" t="str">
        <f>IFERROR(CH23/#REF!,"")</f>
        <v/>
      </c>
      <c r="AC108" s="97"/>
      <c r="AD108" s="97"/>
      <c r="AE108" s="97"/>
      <c r="AF108" s="90"/>
      <c r="AG108" s="90"/>
      <c r="AH108" s="90"/>
      <c r="AI108" s="90"/>
      <c r="AJ108" s="97" t="str">
        <f>IFERROR(AVERAGE(DN23/#REF!,DL23/#REF!),"")</f>
        <v/>
      </c>
      <c r="AK108" s="90"/>
      <c r="AL108" s="90"/>
      <c r="AM108" s="97" t="str">
        <f>IFERROR(AVERAGE(EC23/#REF!,EA23/#REF!),"")</f>
        <v/>
      </c>
      <c r="AN108" s="98"/>
    </row>
    <row r="109" spans="1:40" s="26" customFormat="1" hidden="1">
      <c r="A109" s="27" t="s">
        <v>11</v>
      </c>
      <c r="B109" s="27"/>
      <c r="C109" s="8">
        <v>20.687000000000001</v>
      </c>
      <c r="D109" s="8">
        <v>352.827</v>
      </c>
      <c r="E109" s="8">
        <v>52.986999999999995</v>
      </c>
      <c r="F109" s="8">
        <v>56.150000000000006</v>
      </c>
      <c r="G109" s="8">
        <v>25.3</v>
      </c>
      <c r="H109" s="65">
        <f t="shared" si="128"/>
        <v>507.95099999999996</v>
      </c>
      <c r="I109" s="65" t="e">
        <f>SUM(#REF!,#REF!,#REF!,#REF!,#REF!)</f>
        <v>#REF!</v>
      </c>
      <c r="J109" s="80">
        <f t="shared" si="129"/>
        <v>1</v>
      </c>
      <c r="K109" s="83">
        <f t="shared" si="127"/>
        <v>1</v>
      </c>
      <c r="Q109" s="27"/>
      <c r="V109" s="96" t="str">
        <f>IFERROR(AVERAGE(AQ24/#REF!,AO24/#REF!),"")</f>
        <v/>
      </c>
      <c r="W109" s="90"/>
      <c r="X109" s="90"/>
      <c r="Y109" s="97" t="str">
        <f>IFERROR(AVERAGE(BT24/#REF!,BS24/#REF!),"")</f>
        <v/>
      </c>
      <c r="Z109" s="90"/>
      <c r="AA109" s="90"/>
      <c r="AB109" s="97" t="str">
        <f>IFERROR(CH24/#REF!,"")</f>
        <v/>
      </c>
      <c r="AC109" s="97"/>
      <c r="AD109" s="97"/>
      <c r="AE109" s="97"/>
      <c r="AF109" s="90"/>
      <c r="AG109" s="90"/>
      <c r="AH109" s="90"/>
      <c r="AI109" s="90"/>
      <c r="AJ109" s="97" t="str">
        <f>IFERROR(AVERAGE(DN24/#REF!,DL24/#REF!),"")</f>
        <v/>
      </c>
      <c r="AK109" s="90"/>
      <c r="AL109" s="90"/>
      <c r="AM109" s="97" t="str">
        <f>IFERROR(AVERAGE(EC24/#REF!,EA24/#REF!),"")</f>
        <v/>
      </c>
      <c r="AN109" s="98"/>
    </row>
    <row r="110" spans="1:40" s="26" customFormat="1" hidden="1">
      <c r="A110" s="27" t="s">
        <v>12</v>
      </c>
      <c r="B110" s="27"/>
      <c r="C110" s="8">
        <v>19.84</v>
      </c>
      <c r="D110" s="8">
        <v>0</v>
      </c>
      <c r="E110" s="8">
        <v>5.0000000000000001E-4</v>
      </c>
      <c r="F110" s="8">
        <v>0</v>
      </c>
      <c r="G110" s="8">
        <v>2.36</v>
      </c>
      <c r="H110" s="65">
        <f t="shared" si="128"/>
        <v>22.200499999999998</v>
      </c>
      <c r="I110" s="65" t="e">
        <f>SUM(#REF!,#REF!,#REF!,#REF!,#REF!)</f>
        <v>#REF!</v>
      </c>
      <c r="J110" s="80">
        <f t="shared" si="129"/>
        <v>1</v>
      </c>
      <c r="K110" s="83">
        <f t="shared" si="127"/>
        <v>1</v>
      </c>
      <c r="Q110" s="27"/>
      <c r="V110" s="96" t="str">
        <f>IFERROR(AVERAGE(AQ25/#REF!,AO25/#REF!),"")</f>
        <v/>
      </c>
      <c r="W110" s="90"/>
      <c r="X110" s="90"/>
      <c r="Y110" s="97" t="str">
        <f>IFERROR(AVERAGE(BT25/#REF!,BS25/#REF!),"")</f>
        <v/>
      </c>
      <c r="Z110" s="90"/>
      <c r="AA110" s="90"/>
      <c r="AB110" s="97" t="str">
        <f>IFERROR(CH25/#REF!,"")</f>
        <v/>
      </c>
      <c r="AC110" s="97"/>
      <c r="AD110" s="97"/>
      <c r="AE110" s="97"/>
      <c r="AF110" s="90"/>
      <c r="AG110" s="90"/>
      <c r="AH110" s="90"/>
      <c r="AI110" s="90"/>
      <c r="AJ110" s="97" t="str">
        <f>IFERROR(AVERAGE(DN25/#REF!,DL25/#REF!),"")</f>
        <v/>
      </c>
      <c r="AK110" s="90"/>
      <c r="AL110" s="90"/>
      <c r="AM110" s="97" t="str">
        <f>IFERROR(AVERAGE(EC25/#REF!,EA25/#REF!),"")</f>
        <v/>
      </c>
      <c r="AN110" s="98"/>
    </row>
    <row r="111" spans="1:40" s="26" customFormat="1" hidden="1">
      <c r="A111" s="27" t="s">
        <v>13</v>
      </c>
      <c r="B111" s="27"/>
      <c r="C111" s="8">
        <v>40.125500000000002</v>
      </c>
      <c r="D111" s="8">
        <v>611.46900000000005</v>
      </c>
      <c r="E111" s="8">
        <v>2.0810000000000004</v>
      </c>
      <c r="F111" s="8">
        <v>142.89000000000001</v>
      </c>
      <c r="G111" s="8">
        <v>19.427000000000003</v>
      </c>
      <c r="H111" s="65">
        <f t="shared" si="128"/>
        <v>815.99250000000006</v>
      </c>
      <c r="I111" s="65" t="e">
        <f>SUM(#REF!,#REF!,#REF!,#REF!,#REF!)</f>
        <v>#REF!</v>
      </c>
      <c r="J111" s="80">
        <f t="shared" si="129"/>
        <v>1</v>
      </c>
      <c r="K111" s="83">
        <f t="shared" si="127"/>
        <v>1</v>
      </c>
      <c r="Q111" s="27"/>
      <c r="V111" s="96" t="str">
        <f>IFERROR(AVERAGE(AQ26/#REF!,AO26/#REF!),"")</f>
        <v/>
      </c>
      <c r="W111" s="90"/>
      <c r="X111" s="90"/>
      <c r="Y111" s="97" t="str">
        <f>IFERROR(AVERAGE(BT26/#REF!,BS26/#REF!),"")</f>
        <v/>
      </c>
      <c r="Z111" s="90"/>
      <c r="AA111" s="90"/>
      <c r="AB111" s="97" t="str">
        <f>IFERROR(CH26/#REF!,"")</f>
        <v/>
      </c>
      <c r="AC111" s="97"/>
      <c r="AD111" s="97"/>
      <c r="AE111" s="97"/>
      <c r="AF111" s="90"/>
      <c r="AG111" s="90"/>
      <c r="AH111" s="90"/>
      <c r="AI111" s="90"/>
      <c r="AJ111" s="97" t="str">
        <f>IFERROR(AVERAGE(DN26/#REF!,DL26/#REF!),"")</f>
        <v/>
      </c>
      <c r="AK111" s="90"/>
      <c r="AL111" s="90"/>
      <c r="AM111" s="97" t="str">
        <f>IFERROR(AVERAGE(EC26/#REF!,EA26/#REF!),"")</f>
        <v/>
      </c>
      <c r="AN111" s="98"/>
    </row>
    <row r="112" spans="1:40" s="26" customFormat="1" hidden="1">
      <c r="A112" s="27" t="s">
        <v>14</v>
      </c>
      <c r="B112" s="27"/>
      <c r="C112" s="8">
        <v>69530.444924999887</v>
      </c>
      <c r="D112" s="8">
        <v>18870.726000000017</v>
      </c>
      <c r="E112" s="8">
        <v>55730.830300000023</v>
      </c>
      <c r="F112" s="8">
        <v>8935.905999999999</v>
      </c>
      <c r="G112" s="8">
        <v>1032.5164999999997</v>
      </c>
      <c r="H112" s="65">
        <f t="shared" si="128"/>
        <v>154100.42372499991</v>
      </c>
      <c r="I112" s="65" t="e">
        <f>SUM(#REF!,#REF!,#REF!,#REF!,#REF!)</f>
        <v>#REF!</v>
      </c>
      <c r="J112" s="80">
        <f t="shared" si="129"/>
        <v>1</v>
      </c>
      <c r="K112" s="83">
        <f t="shared" si="127"/>
        <v>1</v>
      </c>
      <c r="Q112" s="27"/>
      <c r="V112" s="96" t="str">
        <f>IFERROR(AVERAGE(AQ27/#REF!,AO27/#REF!),"")</f>
        <v/>
      </c>
      <c r="W112" s="90"/>
      <c r="X112" s="90"/>
      <c r="Y112" s="97" t="str">
        <f>IFERROR(AVERAGE(BT27/#REF!,BS27/#REF!),"")</f>
        <v/>
      </c>
      <c r="Z112" s="90"/>
      <c r="AA112" s="90"/>
      <c r="AB112" s="97" t="str">
        <f>IFERROR(CH27/#REF!,"")</f>
        <v/>
      </c>
      <c r="AC112" s="97"/>
      <c r="AD112" s="97"/>
      <c r="AE112" s="97"/>
      <c r="AF112" s="90"/>
      <c r="AG112" s="90"/>
      <c r="AH112" s="90"/>
      <c r="AI112" s="90"/>
      <c r="AJ112" s="97" t="str">
        <f>IFERROR(AVERAGE(DN27/#REF!,DL27/#REF!),"")</f>
        <v/>
      </c>
      <c r="AK112" s="90"/>
      <c r="AL112" s="90"/>
      <c r="AM112" s="97" t="str">
        <f>IFERROR(AVERAGE(EC27/#REF!,EA27/#REF!),"")</f>
        <v/>
      </c>
      <c r="AN112" s="98"/>
    </row>
    <row r="113" spans="1:40" s="26" customFormat="1" hidden="1">
      <c r="A113" s="27" t="s">
        <v>15</v>
      </c>
      <c r="B113" s="27"/>
      <c r="C113" s="8">
        <v>190.29549999999998</v>
      </c>
      <c r="D113" s="8">
        <v>500.95699999999999</v>
      </c>
      <c r="E113" s="8">
        <v>123564.95899999994</v>
      </c>
      <c r="F113" s="8">
        <v>295.678</v>
      </c>
      <c r="G113" s="8">
        <v>445.84000000000003</v>
      </c>
      <c r="H113" s="65">
        <f t="shared" si="128"/>
        <v>124997.72949999994</v>
      </c>
      <c r="I113" s="65" t="e">
        <f>SUM(#REF!,#REF!,#REF!,#REF!,#REF!)</f>
        <v>#REF!</v>
      </c>
      <c r="J113" s="80">
        <f t="shared" si="129"/>
        <v>1</v>
      </c>
      <c r="K113" s="83">
        <f t="shared" si="127"/>
        <v>1</v>
      </c>
      <c r="Q113" s="27"/>
      <c r="V113" s="96" t="str">
        <f>IFERROR(AVERAGE(AQ28/#REF!,AO28/#REF!),"")</f>
        <v/>
      </c>
      <c r="W113" s="90"/>
      <c r="X113" s="90"/>
      <c r="Y113" s="97" t="str">
        <f>IFERROR(AVERAGE(BT28/#REF!,BS28/#REF!),"")</f>
        <v/>
      </c>
      <c r="Z113" s="90"/>
      <c r="AA113" s="90"/>
      <c r="AB113" s="97" t="str">
        <f>IFERROR(CH28/#REF!,"")</f>
        <v/>
      </c>
      <c r="AC113" s="97"/>
      <c r="AD113" s="97"/>
      <c r="AE113" s="97"/>
      <c r="AF113" s="90"/>
      <c r="AG113" s="90"/>
      <c r="AH113" s="90"/>
      <c r="AI113" s="90"/>
      <c r="AJ113" s="97" t="str">
        <f>IFERROR(AVERAGE(DN28/#REF!,DL28/#REF!),"")</f>
        <v/>
      </c>
      <c r="AK113" s="90"/>
      <c r="AL113" s="90"/>
      <c r="AM113" s="97" t="str">
        <f>IFERROR(AVERAGE(EC28/#REF!,EA28/#REF!),"")</f>
        <v/>
      </c>
      <c r="AN113" s="98"/>
    </row>
    <row r="114" spans="1:40" s="26" customFormat="1" hidden="1">
      <c r="A114" s="27" t="s">
        <v>16</v>
      </c>
      <c r="B114" s="27"/>
      <c r="C114" s="8">
        <v>161.36000000000001</v>
      </c>
      <c r="D114" s="8">
        <v>0</v>
      </c>
      <c r="E114" s="8" t="s">
        <v>75</v>
      </c>
      <c r="F114" s="8">
        <v>123</v>
      </c>
      <c r="G114" s="8">
        <v>0</v>
      </c>
      <c r="H114" s="65">
        <f t="shared" si="128"/>
        <v>284.36</v>
      </c>
      <c r="I114" s="65" t="e">
        <f>SUM(#REF!,#REF!,#REF!,#REF!,#REF!)</f>
        <v>#REF!</v>
      </c>
      <c r="J114" s="80">
        <f t="shared" si="129"/>
        <v>1</v>
      </c>
      <c r="K114" s="83">
        <f t="shared" si="127"/>
        <v>1</v>
      </c>
      <c r="Q114" s="27"/>
      <c r="V114" s="96" t="str">
        <f>IFERROR(AVERAGE(AQ29/#REF!,AO29/#REF!),"")</f>
        <v/>
      </c>
      <c r="W114" s="90"/>
      <c r="X114" s="90"/>
      <c r="Y114" s="97" t="str">
        <f>IFERROR(AVERAGE(BT29/#REF!,BS29/#REF!),"")</f>
        <v/>
      </c>
      <c r="Z114" s="90"/>
      <c r="AA114" s="90"/>
      <c r="AB114" s="97" t="str">
        <f>IFERROR(CH29/#REF!,"")</f>
        <v/>
      </c>
      <c r="AC114" s="97"/>
      <c r="AD114" s="97"/>
      <c r="AE114" s="97"/>
      <c r="AF114" s="90"/>
      <c r="AG114" s="90"/>
      <c r="AH114" s="90"/>
      <c r="AI114" s="90"/>
      <c r="AJ114" s="97" t="str">
        <f>IFERROR(AVERAGE(DN29/#REF!,DL29/#REF!),"")</f>
        <v/>
      </c>
      <c r="AK114" s="90"/>
      <c r="AL114" s="90"/>
      <c r="AM114" s="97" t="str">
        <f>IFERROR(AVERAGE(EC29/#REF!,EA29/#REF!),"")</f>
        <v/>
      </c>
      <c r="AN114" s="98"/>
    </row>
    <row r="115" spans="1:40" s="26" customFormat="1" hidden="1">
      <c r="A115" s="27" t="s">
        <v>69</v>
      </c>
      <c r="B115" s="27"/>
      <c r="C115" s="8">
        <v>0</v>
      </c>
      <c r="D115" s="8">
        <v>2.6</v>
      </c>
      <c r="E115" s="8" t="s">
        <v>75</v>
      </c>
      <c r="F115" s="8">
        <v>0</v>
      </c>
      <c r="G115" s="8">
        <v>0</v>
      </c>
      <c r="H115" s="65">
        <f t="shared" si="128"/>
        <v>2.6</v>
      </c>
      <c r="I115" s="65" t="e">
        <f>SUM(#REF!,#REF!,#REF!,#REF!,#REF!)</f>
        <v>#REF!</v>
      </c>
      <c r="J115" s="80">
        <f t="shared" si="129"/>
        <v>1</v>
      </c>
      <c r="K115" s="83">
        <f t="shared" si="127"/>
        <v>1</v>
      </c>
      <c r="Q115" s="27"/>
      <c r="V115" s="96" t="str">
        <f>IFERROR(AVERAGE(AQ30/#REF!,AO30/#REF!),"")</f>
        <v/>
      </c>
      <c r="W115" s="90"/>
      <c r="X115" s="90"/>
      <c r="Y115" s="97" t="str">
        <f>IFERROR(AVERAGE(BT30/#REF!,BS30/#REF!),"")</f>
        <v/>
      </c>
      <c r="Z115" s="90"/>
      <c r="AA115" s="90"/>
      <c r="AB115" s="97" t="str">
        <f>IFERROR(CH30/#REF!,"")</f>
        <v/>
      </c>
      <c r="AC115" s="97"/>
      <c r="AD115" s="97"/>
      <c r="AE115" s="97"/>
      <c r="AF115" s="90"/>
      <c r="AG115" s="90"/>
      <c r="AH115" s="90"/>
      <c r="AI115" s="90"/>
      <c r="AJ115" s="97" t="str">
        <f>IFERROR(AVERAGE(DN30/#REF!,DL30/#REF!),"")</f>
        <v/>
      </c>
      <c r="AK115" s="90"/>
      <c r="AL115" s="90"/>
      <c r="AM115" s="97" t="str">
        <f>IFERROR(AVERAGE(EC30/#REF!,EA30/#REF!),"")</f>
        <v/>
      </c>
      <c r="AN115" s="98"/>
    </row>
    <row r="116" spans="1:40" s="26" customFormat="1" hidden="1">
      <c r="A116" s="27" t="s">
        <v>70</v>
      </c>
      <c r="B116" s="27"/>
      <c r="C116" s="8">
        <v>2.4350000000000001</v>
      </c>
      <c r="D116" s="8">
        <v>64.25</v>
      </c>
      <c r="E116" s="8">
        <v>0</v>
      </c>
      <c r="F116" s="8">
        <v>0</v>
      </c>
      <c r="G116" s="8">
        <v>0</v>
      </c>
      <c r="H116" s="65">
        <f t="shared" si="128"/>
        <v>66.685000000000002</v>
      </c>
      <c r="I116" s="65" t="e">
        <f>SUM(#REF!,#REF!,#REF!,#REF!,#REF!)</f>
        <v>#REF!</v>
      </c>
      <c r="J116" s="80">
        <f t="shared" si="129"/>
        <v>1</v>
      </c>
      <c r="K116" s="83">
        <f t="shared" si="127"/>
        <v>1</v>
      </c>
      <c r="Q116" s="27"/>
      <c r="V116" s="96" t="str">
        <f>IFERROR(AVERAGE(AQ31/#REF!,AO31/#REF!),"")</f>
        <v/>
      </c>
      <c r="W116" s="90"/>
      <c r="X116" s="90"/>
      <c r="Y116" s="97" t="str">
        <f>IFERROR(AVERAGE(BT31/#REF!,BS31/#REF!),"")</f>
        <v/>
      </c>
      <c r="Z116" s="90"/>
      <c r="AA116" s="90"/>
      <c r="AB116" s="97" t="str">
        <f>IFERROR(CH31/#REF!,"")</f>
        <v/>
      </c>
      <c r="AC116" s="97"/>
      <c r="AD116" s="97"/>
      <c r="AE116" s="97"/>
      <c r="AF116" s="90"/>
      <c r="AG116" s="90"/>
      <c r="AH116" s="90"/>
      <c r="AI116" s="90"/>
      <c r="AJ116" s="97" t="str">
        <f>IFERROR(AVERAGE(DN31/#REF!,DL31/#REF!),"")</f>
        <v/>
      </c>
      <c r="AK116" s="90"/>
      <c r="AL116" s="90"/>
      <c r="AM116" s="97" t="str">
        <f>IFERROR(AVERAGE(EC31/#REF!,EA31/#REF!),"")</f>
        <v/>
      </c>
      <c r="AN116" s="98"/>
    </row>
    <row r="117" spans="1:40" s="26" customFormat="1" hidden="1">
      <c r="A117" s="27" t="s">
        <v>17</v>
      </c>
      <c r="B117" s="27"/>
      <c r="C117" s="8">
        <v>0</v>
      </c>
      <c r="D117" s="8">
        <v>0</v>
      </c>
      <c r="E117" s="8">
        <v>2.5999999999999999E-3</v>
      </c>
      <c r="F117" s="8">
        <v>0</v>
      </c>
      <c r="G117" s="8">
        <v>37.35</v>
      </c>
      <c r="H117" s="65">
        <f t="shared" si="128"/>
        <v>37.352600000000002</v>
      </c>
      <c r="I117" s="65" t="e">
        <f>SUM(#REF!,#REF!,#REF!,#REF!,#REF!)</f>
        <v>#REF!</v>
      </c>
      <c r="J117" s="80">
        <f t="shared" si="129"/>
        <v>1</v>
      </c>
      <c r="K117" s="83">
        <f t="shared" si="127"/>
        <v>1</v>
      </c>
      <c r="Q117" s="27"/>
      <c r="V117" s="96" t="str">
        <f>IFERROR(AVERAGE(AQ32/#REF!,AO32/#REF!),"")</f>
        <v/>
      </c>
      <c r="W117" s="90"/>
      <c r="X117" s="90"/>
      <c r="Y117" s="97" t="str">
        <f>IFERROR(AVERAGE(BT32/#REF!,BS32/#REF!),"")</f>
        <v/>
      </c>
      <c r="Z117" s="90"/>
      <c r="AA117" s="90"/>
      <c r="AB117" s="97" t="str">
        <f>IFERROR(CH32/#REF!,"")</f>
        <v/>
      </c>
      <c r="AC117" s="97"/>
      <c r="AD117" s="97"/>
      <c r="AE117" s="97"/>
      <c r="AF117" s="90"/>
      <c r="AG117" s="90"/>
      <c r="AH117" s="90"/>
      <c r="AI117" s="90"/>
      <c r="AJ117" s="97" t="str">
        <f>IFERROR(AVERAGE(DN32/#REF!,DL32/#REF!),"")</f>
        <v/>
      </c>
      <c r="AK117" s="90"/>
      <c r="AL117" s="90"/>
      <c r="AM117" s="97" t="str">
        <f>IFERROR(AVERAGE(EC32/#REF!,EA32/#REF!),"")</f>
        <v/>
      </c>
      <c r="AN117" s="98"/>
    </row>
    <row r="118" spans="1:40" s="26" customFormat="1" hidden="1">
      <c r="A118" s="27" t="s">
        <v>18</v>
      </c>
      <c r="B118" s="27"/>
      <c r="C118" s="8">
        <v>26124.941999999974</v>
      </c>
      <c r="D118" s="8">
        <v>16285.179000000006</v>
      </c>
      <c r="E118" s="8">
        <v>552.26848000000007</v>
      </c>
      <c r="F118" s="8">
        <v>1723.348</v>
      </c>
      <c r="G118" s="8">
        <v>11812.724000000002</v>
      </c>
      <c r="H118" s="65">
        <f t="shared" si="128"/>
        <v>56498.461479999976</v>
      </c>
      <c r="I118" s="65" t="e">
        <f>SUM(#REF!,#REF!,#REF!,#REF!,#REF!)</f>
        <v>#REF!</v>
      </c>
      <c r="J118" s="80">
        <f t="shared" si="129"/>
        <v>1</v>
      </c>
      <c r="K118" s="83">
        <f t="shared" si="127"/>
        <v>1</v>
      </c>
      <c r="Q118" s="27"/>
      <c r="V118" s="96" t="str">
        <f>IFERROR(AVERAGE(AQ33/#REF!,AO33/#REF!),"")</f>
        <v/>
      </c>
      <c r="W118" s="90"/>
      <c r="X118" s="90"/>
      <c r="Y118" s="97" t="str">
        <f>IFERROR(AVERAGE(BT33/#REF!,BS33/#REF!),"")</f>
        <v/>
      </c>
      <c r="Z118" s="90"/>
      <c r="AA118" s="90"/>
      <c r="AB118" s="97" t="str">
        <f>IFERROR(CH33/#REF!,"")</f>
        <v/>
      </c>
      <c r="AC118" s="97"/>
      <c r="AD118" s="97"/>
      <c r="AE118" s="97"/>
      <c r="AF118" s="90"/>
      <c r="AG118" s="90"/>
      <c r="AH118" s="90"/>
      <c r="AI118" s="90"/>
      <c r="AJ118" s="97" t="str">
        <f>IFERROR(AVERAGE(DN33/#REF!,DL33/#REF!),"")</f>
        <v/>
      </c>
      <c r="AK118" s="90"/>
      <c r="AL118" s="90"/>
      <c r="AM118" s="97" t="str">
        <f>IFERROR(AVERAGE(EC33/#REF!,EA33/#REF!),"")</f>
        <v/>
      </c>
      <c r="AN118" s="98"/>
    </row>
    <row r="119" spans="1:40" s="26" customFormat="1" hidden="1">
      <c r="A119" s="27" t="s">
        <v>19</v>
      </c>
      <c r="B119" s="28"/>
      <c r="C119" s="8">
        <v>0</v>
      </c>
      <c r="D119" s="8">
        <v>0</v>
      </c>
      <c r="E119" s="8">
        <v>0</v>
      </c>
      <c r="F119" s="8">
        <v>0.32</v>
      </c>
      <c r="G119" s="8">
        <v>1.8570000000000004</v>
      </c>
      <c r="H119" s="65">
        <f t="shared" si="128"/>
        <v>2.1770000000000005</v>
      </c>
      <c r="I119" s="65" t="e">
        <f>SUM(#REF!,#REF!,#REF!,#REF!,#REF!)</f>
        <v>#REF!</v>
      </c>
      <c r="J119" s="80">
        <f t="shared" si="129"/>
        <v>1</v>
      </c>
      <c r="K119" s="83">
        <f t="shared" si="127"/>
        <v>1</v>
      </c>
      <c r="Q119" s="28"/>
      <c r="V119" s="96" t="str">
        <f>IFERROR(AVERAGE(AQ34/#REF!,AO34/#REF!),"")</f>
        <v/>
      </c>
      <c r="W119" s="90"/>
      <c r="X119" s="90"/>
      <c r="Y119" s="97" t="str">
        <f>IFERROR(AVERAGE(BT34/#REF!,BS34/#REF!),"")</f>
        <v/>
      </c>
      <c r="Z119" s="90"/>
      <c r="AA119" s="90"/>
      <c r="AB119" s="97" t="str">
        <f>IFERROR(CH34/#REF!,"")</f>
        <v/>
      </c>
      <c r="AC119" s="97"/>
      <c r="AD119" s="97"/>
      <c r="AE119" s="97"/>
      <c r="AF119" s="90"/>
      <c r="AG119" s="90"/>
      <c r="AH119" s="90"/>
      <c r="AI119" s="90"/>
      <c r="AJ119" s="97" t="str">
        <f>IFERROR(AVERAGE(DN34/#REF!,DL34/#REF!),"")</f>
        <v/>
      </c>
      <c r="AK119" s="90"/>
      <c r="AL119" s="90"/>
      <c r="AM119" s="97" t="str">
        <f>IFERROR(AVERAGE(EC34/#REF!,EA34/#REF!),"")</f>
        <v/>
      </c>
      <c r="AN119" s="98"/>
    </row>
    <row r="120" spans="1:40" s="26" customFormat="1" hidden="1">
      <c r="A120" s="27" t="s">
        <v>20</v>
      </c>
      <c r="B120" s="28"/>
      <c r="C120" s="8">
        <v>0</v>
      </c>
      <c r="D120" s="8">
        <v>340.48700000000008</v>
      </c>
      <c r="E120" s="8">
        <v>1.64</v>
      </c>
      <c r="F120" s="8">
        <v>51.344000000000001</v>
      </c>
      <c r="G120" s="8">
        <v>6.81</v>
      </c>
      <c r="H120" s="65">
        <f t="shared" si="128"/>
        <v>400.28100000000006</v>
      </c>
      <c r="I120" s="65" t="e">
        <f>SUM(#REF!,#REF!,#REF!,#REF!,#REF!)</f>
        <v>#REF!</v>
      </c>
      <c r="J120" s="80">
        <f t="shared" si="129"/>
        <v>1</v>
      </c>
      <c r="K120" s="83">
        <f t="shared" si="127"/>
        <v>1</v>
      </c>
      <c r="Q120" s="28"/>
      <c r="V120" s="96" t="str">
        <f>IFERROR(AVERAGE(AQ35/#REF!,AO35/#REF!),"")</f>
        <v/>
      </c>
      <c r="W120" s="90"/>
      <c r="X120" s="90"/>
      <c r="Y120" s="97" t="str">
        <f>IFERROR(AVERAGE(BT35/#REF!,BS35/#REF!),"")</f>
        <v/>
      </c>
      <c r="Z120" s="90"/>
      <c r="AA120" s="90"/>
      <c r="AB120" s="97" t="str">
        <f>IFERROR(CH35/#REF!,"")</f>
        <v/>
      </c>
      <c r="AC120" s="97"/>
      <c r="AD120" s="97"/>
      <c r="AE120" s="97"/>
      <c r="AF120" s="90"/>
      <c r="AG120" s="90"/>
      <c r="AH120" s="90"/>
      <c r="AI120" s="90"/>
      <c r="AJ120" s="97" t="str">
        <f>IFERROR(AVERAGE(DN35/#REF!,DL35/#REF!),"")</f>
        <v/>
      </c>
      <c r="AK120" s="90"/>
      <c r="AL120" s="90"/>
      <c r="AM120" s="97" t="str">
        <f>IFERROR(AVERAGE(EC35/#REF!,EA35/#REF!),"")</f>
        <v/>
      </c>
      <c r="AN120" s="98"/>
    </row>
    <row r="121" spans="1:40" s="26" customFormat="1" hidden="1">
      <c r="A121" s="27" t="s">
        <v>57</v>
      </c>
      <c r="B121" s="28"/>
      <c r="C121" s="8">
        <v>0</v>
      </c>
      <c r="D121" s="8">
        <v>2.2999999999999998</v>
      </c>
      <c r="E121" s="8">
        <v>1.7500000000000002E-2</v>
      </c>
      <c r="F121" s="8">
        <v>0.74549999999999994</v>
      </c>
      <c r="G121" s="8">
        <v>3.4500000000000003E-2</v>
      </c>
      <c r="H121" s="65">
        <f t="shared" si="128"/>
        <v>3.0974999999999997</v>
      </c>
      <c r="I121" s="65" t="e">
        <f>SUM(#REF!,#REF!,#REF!,#REF!,#REF!)</f>
        <v>#REF!</v>
      </c>
      <c r="J121" s="80">
        <f t="shared" si="129"/>
        <v>1</v>
      </c>
      <c r="K121" s="83">
        <f t="shared" si="127"/>
        <v>1</v>
      </c>
      <c r="Q121" s="28"/>
      <c r="V121" s="96" t="str">
        <f>IFERROR(AVERAGE(AQ36/#REF!,AO36/#REF!),"")</f>
        <v/>
      </c>
      <c r="W121" s="90"/>
      <c r="X121" s="90"/>
      <c r="Y121" s="97" t="str">
        <f>IFERROR(AVERAGE(BT36/#REF!,BS36/#REF!),"")</f>
        <v/>
      </c>
      <c r="Z121" s="90"/>
      <c r="AA121" s="90"/>
      <c r="AB121" s="97" t="str">
        <f>IFERROR(CH36/#REF!,"")</f>
        <v/>
      </c>
      <c r="AC121" s="97"/>
      <c r="AD121" s="97"/>
      <c r="AE121" s="97"/>
      <c r="AF121" s="90"/>
      <c r="AG121" s="90"/>
      <c r="AH121" s="90"/>
      <c r="AI121" s="90"/>
      <c r="AJ121" s="97" t="str">
        <f>IFERROR(AVERAGE(DN36/#REF!,DL36/#REF!),"")</f>
        <v/>
      </c>
      <c r="AK121" s="90"/>
      <c r="AL121" s="90"/>
      <c r="AM121" s="97" t="str">
        <f>IFERROR(AVERAGE(EC36/#REF!,EA36/#REF!),"")</f>
        <v/>
      </c>
      <c r="AN121" s="98"/>
    </row>
    <row r="122" spans="1:40" s="26" customFormat="1" hidden="1">
      <c r="A122" s="27" t="s">
        <v>58</v>
      </c>
      <c r="B122" s="27"/>
      <c r="C122" s="8">
        <v>0</v>
      </c>
      <c r="D122" s="8">
        <v>21.410999999999998</v>
      </c>
      <c r="E122" s="8" t="s">
        <v>75</v>
      </c>
      <c r="F122" s="8">
        <v>0.74549999999999994</v>
      </c>
      <c r="G122" s="8">
        <v>11.6225</v>
      </c>
      <c r="H122" s="65">
        <f t="shared" si="128"/>
        <v>33.778999999999996</v>
      </c>
      <c r="I122" s="65" t="e">
        <f>SUM(#REF!,#REF!,#REF!,#REF!,#REF!)</f>
        <v>#REF!</v>
      </c>
      <c r="J122" s="80">
        <f t="shared" si="129"/>
        <v>1</v>
      </c>
      <c r="K122" s="83">
        <f t="shared" si="127"/>
        <v>1</v>
      </c>
      <c r="Q122" s="27"/>
      <c r="V122" s="96" t="str">
        <f>IFERROR(AVERAGE(AQ37/#REF!,AO37/#REF!),"")</f>
        <v/>
      </c>
      <c r="W122" s="90"/>
      <c r="X122" s="90"/>
      <c r="Y122" s="97" t="str">
        <f>IFERROR(AVERAGE(BT37/#REF!,BS37/#REF!),"")</f>
        <v/>
      </c>
      <c r="Z122" s="90"/>
      <c r="AA122" s="90"/>
      <c r="AB122" s="97" t="str">
        <f>IFERROR(CH37/#REF!,"")</f>
        <v/>
      </c>
      <c r="AC122" s="97"/>
      <c r="AD122" s="97"/>
      <c r="AE122" s="97"/>
      <c r="AF122" s="90"/>
      <c r="AG122" s="90"/>
      <c r="AH122" s="90"/>
      <c r="AI122" s="90"/>
      <c r="AJ122" s="97" t="str">
        <f>IFERROR(AVERAGE(DN37/#REF!,DL37/#REF!),"")</f>
        <v/>
      </c>
      <c r="AK122" s="90"/>
      <c r="AL122" s="90"/>
      <c r="AM122" s="97" t="str">
        <f>IFERROR(AVERAGE(EC37/#REF!,EA37/#REF!),"")</f>
        <v/>
      </c>
      <c r="AN122" s="98"/>
    </row>
    <row r="123" spans="1:40" s="26" customFormat="1" hidden="1">
      <c r="A123" s="27" t="s">
        <v>21</v>
      </c>
      <c r="B123" s="28"/>
      <c r="C123" s="8">
        <v>0</v>
      </c>
      <c r="D123" s="8">
        <v>452.75200000000001</v>
      </c>
      <c r="E123" s="8">
        <v>0.32</v>
      </c>
      <c r="F123" s="8">
        <v>32.200000000000003</v>
      </c>
      <c r="G123" s="8">
        <v>1.04</v>
      </c>
      <c r="H123" s="65">
        <f t="shared" si="128"/>
        <v>486.31200000000001</v>
      </c>
      <c r="I123" s="65" t="e">
        <f>SUM(#REF!,#REF!,#REF!,#REF!,#REF!)</f>
        <v>#REF!</v>
      </c>
      <c r="J123" s="80">
        <f t="shared" si="129"/>
        <v>1</v>
      </c>
      <c r="K123" s="83">
        <f t="shared" si="127"/>
        <v>1</v>
      </c>
      <c r="Q123" s="28"/>
      <c r="V123" s="96" t="str">
        <f>IFERROR(AVERAGE(AQ38/#REF!,AO38/#REF!),"")</f>
        <v/>
      </c>
      <c r="W123" s="90"/>
      <c r="X123" s="90"/>
      <c r="Y123" s="97" t="str">
        <f>IFERROR(AVERAGE(BT38/#REF!,BS38/#REF!),"")</f>
        <v/>
      </c>
      <c r="Z123" s="90"/>
      <c r="AA123" s="90"/>
      <c r="AB123" s="97" t="str">
        <f>IFERROR(CH38/#REF!,"")</f>
        <v/>
      </c>
      <c r="AC123" s="97"/>
      <c r="AD123" s="97"/>
      <c r="AE123" s="97"/>
      <c r="AF123" s="90"/>
      <c r="AG123" s="90"/>
      <c r="AH123" s="90"/>
      <c r="AI123" s="90"/>
      <c r="AJ123" s="97" t="str">
        <f>IFERROR(AVERAGE(DN38/#REF!,DL38/#REF!),"")</f>
        <v/>
      </c>
      <c r="AK123" s="90"/>
      <c r="AL123" s="90"/>
      <c r="AM123" s="97" t="str">
        <f>IFERROR(AVERAGE(EC38/#REF!,EA38/#REF!),"")</f>
        <v/>
      </c>
      <c r="AN123" s="98"/>
    </row>
    <row r="124" spans="1:40" s="26" customFormat="1" hidden="1">
      <c r="A124" s="27" t="s">
        <v>22</v>
      </c>
      <c r="B124" s="28"/>
      <c r="C124" s="8">
        <v>81.472499999999997</v>
      </c>
      <c r="D124" s="8">
        <v>51.888999999999996</v>
      </c>
      <c r="E124" s="8">
        <v>15.299452</v>
      </c>
      <c r="F124" s="8">
        <v>72.330999999999989</v>
      </c>
      <c r="G124" s="8">
        <v>47.59199999999997</v>
      </c>
      <c r="H124" s="65">
        <f t="shared" si="128"/>
        <v>268.58395199999995</v>
      </c>
      <c r="I124" s="65" t="e">
        <f>SUM(#REF!,#REF!,#REF!,#REF!,#REF!)</f>
        <v>#REF!</v>
      </c>
      <c r="J124" s="80">
        <f t="shared" si="129"/>
        <v>1</v>
      </c>
      <c r="K124" s="83">
        <f t="shared" si="127"/>
        <v>1</v>
      </c>
      <c r="Q124" s="28"/>
      <c r="V124" s="96" t="str">
        <f>IFERROR(AVERAGE(AQ39/#REF!,AO39/#REF!),"")</f>
        <v/>
      </c>
      <c r="W124" s="90"/>
      <c r="X124" s="90"/>
      <c r="Y124" s="97" t="str">
        <f>IFERROR(AVERAGE(BT39/#REF!,BS39/#REF!),"")</f>
        <v/>
      </c>
      <c r="Z124" s="90"/>
      <c r="AA124" s="90"/>
      <c r="AB124" s="97" t="str">
        <f>IFERROR(CH39/#REF!,"")</f>
        <v/>
      </c>
      <c r="AC124" s="97"/>
      <c r="AD124" s="97"/>
      <c r="AE124" s="97"/>
      <c r="AF124" s="90"/>
      <c r="AG124" s="90"/>
      <c r="AH124" s="90"/>
      <c r="AI124" s="90"/>
      <c r="AJ124" s="97" t="str">
        <f>IFERROR(AVERAGE(DN39/#REF!,DL39/#REF!),"")</f>
        <v/>
      </c>
      <c r="AK124" s="90"/>
      <c r="AL124" s="90"/>
      <c r="AM124" s="97" t="str">
        <f>IFERROR(AVERAGE(EC39/#REF!,EA39/#REF!),"")</f>
        <v/>
      </c>
      <c r="AN124" s="98"/>
    </row>
    <row r="125" spans="1:40" s="26" customFormat="1" hidden="1">
      <c r="A125" s="27" t="s">
        <v>23</v>
      </c>
      <c r="B125" s="27"/>
      <c r="C125" s="8">
        <v>9592.5892800000202</v>
      </c>
      <c r="D125" s="8">
        <v>10328.747999999992</v>
      </c>
      <c r="E125" s="8">
        <v>3854.6489759999981</v>
      </c>
      <c r="F125" s="8">
        <v>26635.800000000112</v>
      </c>
      <c r="G125" s="8">
        <v>42910.420429999998</v>
      </c>
      <c r="H125" s="65">
        <f t="shared" si="128"/>
        <v>93322.206686000121</v>
      </c>
      <c r="I125" s="65" t="e">
        <f>SUM(#REF!,#REF!,#REF!,#REF!,#REF!)</f>
        <v>#REF!</v>
      </c>
      <c r="J125" s="80">
        <f t="shared" si="129"/>
        <v>1</v>
      </c>
      <c r="K125" s="83">
        <f t="shared" si="127"/>
        <v>1</v>
      </c>
      <c r="Q125" s="27"/>
      <c r="V125" s="96" t="str">
        <f>IFERROR(AVERAGE(AQ40/#REF!,AO40/#REF!),"")</f>
        <v/>
      </c>
      <c r="W125" s="90"/>
      <c r="X125" s="90"/>
      <c r="Y125" s="97" t="str">
        <f>IFERROR(AVERAGE(BT40/#REF!,BS40/#REF!),"")</f>
        <v/>
      </c>
      <c r="Z125" s="90"/>
      <c r="AA125" s="90"/>
      <c r="AB125" s="97" t="str">
        <f>IFERROR(CH40/#REF!,"")</f>
        <v/>
      </c>
      <c r="AC125" s="97"/>
      <c r="AD125" s="97"/>
      <c r="AE125" s="97"/>
      <c r="AF125" s="90"/>
      <c r="AG125" s="90"/>
      <c r="AH125" s="90"/>
      <c r="AI125" s="90"/>
      <c r="AJ125" s="97" t="str">
        <f>IFERROR(AVERAGE(DN40/#REF!,DL40/#REF!),"")</f>
        <v/>
      </c>
      <c r="AK125" s="90"/>
      <c r="AL125" s="90"/>
      <c r="AM125" s="97" t="str">
        <f>IFERROR(AVERAGE(EC40/#REF!,EA40/#REF!),"")</f>
        <v/>
      </c>
      <c r="AN125" s="98"/>
    </row>
    <row r="126" spans="1:40" s="26" customFormat="1" hidden="1">
      <c r="A126" s="27" t="s">
        <v>59</v>
      </c>
      <c r="B126" s="28"/>
      <c r="C126" s="8">
        <v>2221.284529999994</v>
      </c>
      <c r="D126" s="8">
        <v>1822.3899999999999</v>
      </c>
      <c r="E126" s="8">
        <v>752.34018000000003</v>
      </c>
      <c r="F126" s="8">
        <v>2654.3369999999991</v>
      </c>
      <c r="G126" s="8">
        <v>772.02380000000016</v>
      </c>
      <c r="H126" s="65">
        <f t="shared" si="128"/>
        <v>8222.3755099999944</v>
      </c>
      <c r="I126" s="65" t="e">
        <f>SUM(#REF!,#REF!,#REF!,#REF!,#REF!)</f>
        <v>#REF!</v>
      </c>
      <c r="J126" s="80">
        <f t="shared" si="129"/>
        <v>1</v>
      </c>
      <c r="K126" s="83">
        <f t="shared" si="127"/>
        <v>1</v>
      </c>
      <c r="Q126" s="28"/>
      <c r="V126" s="96" t="str">
        <f>IFERROR(AVERAGE(AQ41/#REF!,AO41/#REF!),"")</f>
        <v/>
      </c>
      <c r="W126" s="90"/>
      <c r="X126" s="90"/>
      <c r="Y126" s="97" t="str">
        <f>IFERROR(AVERAGE(BT41/#REF!,BS41/#REF!),"")</f>
        <v/>
      </c>
      <c r="Z126" s="90"/>
      <c r="AA126" s="90"/>
      <c r="AB126" s="97" t="str">
        <f>IFERROR(CH41/#REF!,"")</f>
        <v/>
      </c>
      <c r="AC126" s="97"/>
      <c r="AD126" s="97"/>
      <c r="AE126" s="97"/>
      <c r="AF126" s="90"/>
      <c r="AG126" s="90"/>
      <c r="AH126" s="90"/>
      <c r="AI126" s="90"/>
      <c r="AJ126" s="97" t="str">
        <f>IFERROR(AVERAGE(DN41/#REF!,DL41/#REF!),"")</f>
        <v/>
      </c>
      <c r="AK126" s="90"/>
      <c r="AL126" s="90"/>
      <c r="AM126" s="97" t="str">
        <f>IFERROR(AVERAGE(EC41/#REF!,EA41/#REF!),"")</f>
        <v/>
      </c>
      <c r="AN126" s="98"/>
    </row>
    <row r="127" spans="1:40" s="26" customFormat="1" hidden="1">
      <c r="A127" s="27" t="s">
        <v>24</v>
      </c>
      <c r="B127" s="28"/>
      <c r="C127" s="8">
        <v>1.798</v>
      </c>
      <c r="D127" s="8">
        <v>81.069999999999993</v>
      </c>
      <c r="E127" s="8">
        <v>2.35E-2</v>
      </c>
      <c r="F127" s="8">
        <v>1580.5039999999929</v>
      </c>
      <c r="G127" s="8">
        <v>399.86649999999975</v>
      </c>
      <c r="H127" s="65">
        <f t="shared" si="128"/>
        <v>2063.2619999999924</v>
      </c>
      <c r="I127" s="65" t="e">
        <f>SUM(#REF!,#REF!,#REF!,#REF!,#REF!)</f>
        <v>#REF!</v>
      </c>
      <c r="J127" s="80">
        <f t="shared" si="129"/>
        <v>1</v>
      </c>
      <c r="K127" s="83">
        <f t="shared" ref="K127:K158" si="130">IF(AND(H127&gt;5000,ISNUMBER(J127),OR(J127&gt;1.1,J127&lt;0.9)),J127,1)</f>
        <v>1</v>
      </c>
      <c r="Q127" s="28"/>
      <c r="V127" s="96" t="str">
        <f>IFERROR(AVERAGE(AQ42/#REF!,AO42/#REF!),"")</f>
        <v/>
      </c>
      <c r="W127" s="90"/>
      <c r="X127" s="90"/>
      <c r="Y127" s="97" t="str">
        <f>IFERROR(AVERAGE(BT42/#REF!,BS42/#REF!),"")</f>
        <v/>
      </c>
      <c r="Z127" s="90"/>
      <c r="AA127" s="90"/>
      <c r="AB127" s="97" t="str">
        <f>IFERROR(CH42/#REF!,"")</f>
        <v/>
      </c>
      <c r="AC127" s="97"/>
      <c r="AD127" s="97"/>
      <c r="AE127" s="97"/>
      <c r="AF127" s="90"/>
      <c r="AG127" s="90"/>
      <c r="AH127" s="90"/>
      <c r="AI127" s="90"/>
      <c r="AJ127" s="97" t="str">
        <f>IFERROR(AVERAGE(DN42/#REF!,DL42/#REF!),"")</f>
        <v/>
      </c>
      <c r="AK127" s="90"/>
      <c r="AL127" s="90"/>
      <c r="AM127" s="97" t="str">
        <f>IFERROR(AVERAGE(EC42/#REF!,EA42/#REF!),"")</f>
        <v/>
      </c>
      <c r="AN127" s="98"/>
    </row>
    <row r="128" spans="1:40" s="26" customFormat="1" hidden="1">
      <c r="A128" s="27" t="s">
        <v>25</v>
      </c>
      <c r="B128" s="28"/>
      <c r="C128" s="8">
        <v>2838.0099999999993</v>
      </c>
      <c r="D128" s="8">
        <v>4459.024000000305</v>
      </c>
      <c r="E128" s="8">
        <v>169.68876999999992</v>
      </c>
      <c r="F128" s="8">
        <v>3993.877999999972</v>
      </c>
      <c r="G128" s="8">
        <v>10382.059659999781</v>
      </c>
      <c r="H128" s="65">
        <f t="shared" si="128"/>
        <v>21842.660430000054</v>
      </c>
      <c r="I128" s="65" t="e">
        <f>SUM(#REF!,#REF!,#REF!,#REF!,#REF!)</f>
        <v>#REF!</v>
      </c>
      <c r="J128" s="80">
        <f t="shared" si="129"/>
        <v>1</v>
      </c>
      <c r="K128" s="83">
        <f t="shared" si="130"/>
        <v>1</v>
      </c>
      <c r="Q128" s="28"/>
      <c r="V128" s="96" t="str">
        <f>IFERROR(AVERAGE(AQ43/#REF!,AO43/#REF!),"")</f>
        <v/>
      </c>
      <c r="W128" s="90"/>
      <c r="X128" s="90"/>
      <c r="Y128" s="97" t="str">
        <f>IFERROR(AVERAGE(BT43/#REF!,BS43/#REF!),"")</f>
        <v/>
      </c>
      <c r="Z128" s="90"/>
      <c r="AA128" s="90"/>
      <c r="AB128" s="97" t="str">
        <f>IFERROR(CH43/#REF!,"")</f>
        <v/>
      </c>
      <c r="AC128" s="97"/>
      <c r="AD128" s="97"/>
      <c r="AE128" s="97"/>
      <c r="AF128" s="90"/>
      <c r="AG128" s="90"/>
      <c r="AH128" s="90"/>
      <c r="AI128" s="90"/>
      <c r="AJ128" s="97" t="str">
        <f>IFERROR(AVERAGE(DN43/#REF!,DL43/#REF!),"")</f>
        <v/>
      </c>
      <c r="AK128" s="90"/>
      <c r="AL128" s="90"/>
      <c r="AM128" s="97" t="str">
        <f>IFERROR(AVERAGE(EC43/#REF!,EA43/#REF!),"")</f>
        <v/>
      </c>
      <c r="AN128" s="98"/>
    </row>
    <row r="129" spans="1:40" s="26" customFormat="1" hidden="1">
      <c r="A129" s="27" t="s">
        <v>26</v>
      </c>
      <c r="B129" s="28"/>
      <c r="C129" s="8">
        <v>152.74400000000037</v>
      </c>
      <c r="D129" s="8">
        <v>69.619000000000057</v>
      </c>
      <c r="E129" s="8">
        <v>111.44072000000003</v>
      </c>
      <c r="F129" s="8">
        <v>173.98100000000005</v>
      </c>
      <c r="G129" s="8">
        <v>62.364430000000048</v>
      </c>
      <c r="H129" s="65">
        <f t="shared" si="128"/>
        <v>570.14915000000053</v>
      </c>
      <c r="I129" s="65" t="e">
        <f>SUM(#REF!,#REF!,#REF!,#REF!,#REF!)</f>
        <v>#REF!</v>
      </c>
      <c r="J129" s="80">
        <f t="shared" si="129"/>
        <v>1</v>
      </c>
      <c r="K129" s="83">
        <f t="shared" si="130"/>
        <v>1</v>
      </c>
      <c r="Q129" s="28"/>
      <c r="V129" s="96" t="str">
        <f>IFERROR(AVERAGE(AQ44/#REF!,AO44/#REF!),"")</f>
        <v/>
      </c>
      <c r="W129" s="90"/>
      <c r="X129" s="90"/>
      <c r="Y129" s="97" t="str">
        <f>IFERROR(AVERAGE(BT44/#REF!,BS44/#REF!),"")</f>
        <v/>
      </c>
      <c r="Z129" s="90"/>
      <c r="AA129" s="90"/>
      <c r="AB129" s="97" t="str">
        <f>IFERROR(CH44/#REF!,"")</f>
        <v/>
      </c>
      <c r="AC129" s="97"/>
      <c r="AD129" s="97"/>
      <c r="AE129" s="97"/>
      <c r="AF129" s="90"/>
      <c r="AG129" s="90"/>
      <c r="AH129" s="90"/>
      <c r="AI129" s="90"/>
      <c r="AJ129" s="97" t="str">
        <f>IFERROR(AVERAGE(DN44/#REF!,DL44/#REF!),"")</f>
        <v/>
      </c>
      <c r="AK129" s="90"/>
      <c r="AL129" s="90"/>
      <c r="AM129" s="97" t="str">
        <f>IFERROR(AVERAGE(EC44/#REF!,EA44/#REF!),"")</f>
        <v/>
      </c>
      <c r="AN129" s="98"/>
    </row>
    <row r="130" spans="1:40" s="26" customFormat="1" hidden="1">
      <c r="A130" s="27" t="s">
        <v>27</v>
      </c>
      <c r="B130" s="28"/>
      <c r="C130" s="8">
        <v>413.06299999999987</v>
      </c>
      <c r="D130" s="8">
        <v>1515.3779999999999</v>
      </c>
      <c r="E130" s="8">
        <v>101.62150000000001</v>
      </c>
      <c r="F130" s="8">
        <v>1301.8369999999998</v>
      </c>
      <c r="G130" s="8">
        <v>44.996999999999964</v>
      </c>
      <c r="H130" s="65">
        <f t="shared" si="128"/>
        <v>3376.8964999999994</v>
      </c>
      <c r="I130" s="65" t="e">
        <f>SUM(#REF!,#REF!,#REF!,#REF!,#REF!)</f>
        <v>#REF!</v>
      </c>
      <c r="J130" s="80">
        <f t="shared" si="129"/>
        <v>1</v>
      </c>
      <c r="K130" s="83">
        <f t="shared" si="130"/>
        <v>1</v>
      </c>
      <c r="Q130" s="28"/>
      <c r="V130" s="96" t="str">
        <f>IFERROR(AVERAGE(AQ45/#REF!,AO45/#REF!),"")</f>
        <v/>
      </c>
      <c r="W130" s="90"/>
      <c r="X130" s="90"/>
      <c r="Y130" s="97" t="str">
        <f>IFERROR(AVERAGE(BT45/#REF!,BS45/#REF!),"")</f>
        <v/>
      </c>
      <c r="Z130" s="90"/>
      <c r="AA130" s="90"/>
      <c r="AB130" s="97" t="str">
        <f>IFERROR(CH45/#REF!,"")</f>
        <v/>
      </c>
      <c r="AC130" s="97"/>
      <c r="AD130" s="97"/>
      <c r="AE130" s="97"/>
      <c r="AF130" s="90"/>
      <c r="AG130" s="90"/>
      <c r="AH130" s="90"/>
      <c r="AI130" s="90"/>
      <c r="AJ130" s="97" t="str">
        <f>IFERROR(AVERAGE(DN45/#REF!,DL45/#REF!),"")</f>
        <v/>
      </c>
      <c r="AK130" s="90"/>
      <c r="AL130" s="90"/>
      <c r="AM130" s="97" t="str">
        <f>IFERROR(AVERAGE(EC45/#REF!,EA45/#REF!),"")</f>
        <v/>
      </c>
      <c r="AN130" s="98"/>
    </row>
    <row r="131" spans="1:40" s="26" customFormat="1" hidden="1">
      <c r="A131" s="27" t="s">
        <v>28</v>
      </c>
      <c r="B131" s="28"/>
      <c r="C131" s="8">
        <v>199.06439999999992</v>
      </c>
      <c r="D131" s="8">
        <v>499.697</v>
      </c>
      <c r="E131" s="8">
        <v>4.8516200000000005</v>
      </c>
      <c r="F131" s="8">
        <v>1344.64</v>
      </c>
      <c r="G131" s="8">
        <v>1022.1119999999999</v>
      </c>
      <c r="H131" s="65">
        <f t="shared" si="128"/>
        <v>3070.3650200000002</v>
      </c>
      <c r="I131" s="65" t="e">
        <f>SUM(#REF!,#REF!,#REF!,#REF!,#REF!)</f>
        <v>#REF!</v>
      </c>
      <c r="J131" s="80">
        <f t="shared" si="129"/>
        <v>1</v>
      </c>
      <c r="K131" s="83">
        <f t="shared" si="130"/>
        <v>1</v>
      </c>
      <c r="Q131" s="28"/>
      <c r="V131" s="96" t="str">
        <f>IFERROR(AVERAGE(AQ46/#REF!,AO46/#REF!),"")</f>
        <v/>
      </c>
      <c r="W131" s="90"/>
      <c r="X131" s="90"/>
      <c r="Y131" s="97" t="str">
        <f>IFERROR(AVERAGE(BT46/#REF!,BS46/#REF!),"")</f>
        <v/>
      </c>
      <c r="Z131" s="90"/>
      <c r="AA131" s="90"/>
      <c r="AB131" s="97" t="str">
        <f>IFERROR(CH46/#REF!,"")</f>
        <v/>
      </c>
      <c r="AC131" s="97"/>
      <c r="AD131" s="97"/>
      <c r="AE131" s="97"/>
      <c r="AF131" s="90"/>
      <c r="AG131" s="90"/>
      <c r="AH131" s="90"/>
      <c r="AI131" s="90"/>
      <c r="AJ131" s="97" t="str">
        <f>IFERROR(AVERAGE(DN46/#REF!,DL46/#REF!),"")</f>
        <v/>
      </c>
      <c r="AK131" s="90"/>
      <c r="AL131" s="90"/>
      <c r="AM131" s="97" t="str">
        <f>IFERROR(AVERAGE(EC46/#REF!,EA46/#REF!),"")</f>
        <v/>
      </c>
      <c r="AN131" s="98"/>
    </row>
    <row r="132" spans="1:40" s="26" customFormat="1" hidden="1">
      <c r="A132" s="27" t="s">
        <v>29</v>
      </c>
      <c r="B132" s="28"/>
      <c r="C132" s="8">
        <v>20.031999999999996</v>
      </c>
      <c r="D132" s="8">
        <v>95.106000000000009</v>
      </c>
      <c r="E132" s="8">
        <v>0.26550000000000001</v>
      </c>
      <c r="F132" s="8">
        <v>70.210000000000008</v>
      </c>
      <c r="G132" s="8">
        <v>0.36000000000000004</v>
      </c>
      <c r="H132" s="65">
        <f t="shared" si="128"/>
        <v>185.97350000000003</v>
      </c>
      <c r="I132" s="65" t="e">
        <f>SUM(#REF!,#REF!,#REF!,#REF!,#REF!)</f>
        <v>#REF!</v>
      </c>
      <c r="J132" s="80">
        <f t="shared" si="129"/>
        <v>1</v>
      </c>
      <c r="K132" s="83">
        <f t="shared" si="130"/>
        <v>1</v>
      </c>
      <c r="Q132" s="28"/>
      <c r="V132" s="96" t="str">
        <f>IFERROR(AVERAGE(AQ47/#REF!,AO47/#REF!),"")</f>
        <v/>
      </c>
      <c r="W132" s="90"/>
      <c r="X132" s="90"/>
      <c r="Y132" s="97" t="str">
        <f>IFERROR(AVERAGE(BT47/#REF!,BS47/#REF!),"")</f>
        <v/>
      </c>
      <c r="Z132" s="90"/>
      <c r="AA132" s="90"/>
      <c r="AB132" s="97" t="str">
        <f>IFERROR(CH47/#REF!,"")</f>
        <v/>
      </c>
      <c r="AC132" s="97"/>
      <c r="AD132" s="97"/>
      <c r="AE132" s="97"/>
      <c r="AF132" s="90"/>
      <c r="AG132" s="90"/>
      <c r="AH132" s="90"/>
      <c r="AI132" s="90"/>
      <c r="AJ132" s="97" t="str">
        <f>IFERROR(AVERAGE(DN47/#REF!,DL47/#REF!),"")</f>
        <v/>
      </c>
      <c r="AK132" s="90"/>
      <c r="AL132" s="90"/>
      <c r="AM132" s="97" t="str">
        <f>IFERROR(AVERAGE(EC47/#REF!,EA47/#REF!),"")</f>
        <v/>
      </c>
      <c r="AN132" s="98"/>
    </row>
    <row r="133" spans="1:40" s="26" customFormat="1" hidden="1">
      <c r="A133" s="27" t="s">
        <v>30</v>
      </c>
      <c r="B133" s="28"/>
      <c r="C133" s="8">
        <v>0.33150000000000002</v>
      </c>
      <c r="D133" s="8">
        <v>202.33</v>
      </c>
      <c r="E133" s="8">
        <v>218.26850000000002</v>
      </c>
      <c r="F133" s="8">
        <v>54.86</v>
      </c>
      <c r="G133" s="8">
        <v>8.4700000000000006</v>
      </c>
      <c r="H133" s="65">
        <f t="shared" si="128"/>
        <v>484.2600000000001</v>
      </c>
      <c r="I133" s="65" t="e">
        <f>SUM(#REF!,#REF!,#REF!,#REF!,#REF!)</f>
        <v>#REF!</v>
      </c>
      <c r="J133" s="80">
        <f t="shared" si="129"/>
        <v>1</v>
      </c>
      <c r="K133" s="83">
        <f t="shared" si="130"/>
        <v>1</v>
      </c>
      <c r="Q133" s="28"/>
      <c r="V133" s="96" t="str">
        <f>IFERROR(AVERAGE(AQ48/#REF!,AO48/#REF!),"")</f>
        <v/>
      </c>
      <c r="W133" s="90"/>
      <c r="X133" s="90"/>
      <c r="Y133" s="97" t="str">
        <f>IFERROR(AVERAGE(BT48/#REF!,BS48/#REF!),"")</f>
        <v/>
      </c>
      <c r="Z133" s="90"/>
      <c r="AA133" s="90"/>
      <c r="AB133" s="97" t="str">
        <f>IFERROR(CH48/#REF!,"")</f>
        <v/>
      </c>
      <c r="AC133" s="97"/>
      <c r="AD133" s="97"/>
      <c r="AE133" s="97"/>
      <c r="AF133" s="90"/>
      <c r="AG133" s="90"/>
      <c r="AH133" s="90"/>
      <c r="AI133" s="90"/>
      <c r="AJ133" s="97" t="str">
        <f>IFERROR(AVERAGE(DN48/#REF!,DL48/#REF!),"")</f>
        <v/>
      </c>
      <c r="AK133" s="90"/>
      <c r="AL133" s="90"/>
      <c r="AM133" s="97" t="str">
        <f>IFERROR(AVERAGE(EC48/#REF!,EA48/#REF!),"")</f>
        <v/>
      </c>
      <c r="AN133" s="98"/>
    </row>
    <row r="134" spans="1:40" s="26" customFormat="1" hidden="1">
      <c r="A134" s="27" t="s">
        <v>31</v>
      </c>
      <c r="B134" s="27"/>
      <c r="C134" s="42">
        <v>40772.654420000006</v>
      </c>
      <c r="D134" s="8">
        <v>63270.409000000698</v>
      </c>
      <c r="E134" s="8">
        <v>17049.585070999965</v>
      </c>
      <c r="F134" s="42">
        <v>27688.657999999999</v>
      </c>
      <c r="G134" s="8">
        <v>116434.59620299963</v>
      </c>
      <c r="H134" s="65">
        <f t="shared" si="128"/>
        <v>265215.90269400028</v>
      </c>
      <c r="I134" s="65" t="e">
        <f>SUM(AQ49,#REF!,#REF!,DN49,#REF!)</f>
        <v>#REF!</v>
      </c>
      <c r="J134" s="81"/>
      <c r="K134" s="83">
        <f t="shared" si="130"/>
        <v>1</v>
      </c>
      <c r="L134" s="26" t="s">
        <v>134</v>
      </c>
      <c r="Q134" s="27"/>
      <c r="V134" s="96" t="str">
        <f>IFERROR(AVERAGE(AQ49/#REF!,AO49/#REF!),"")</f>
        <v/>
      </c>
      <c r="W134" s="90"/>
      <c r="X134" s="90"/>
      <c r="Y134" s="97" t="str">
        <f>IFERROR(AVERAGE(BT49/#REF!,BS49/#REF!),"")</f>
        <v/>
      </c>
      <c r="Z134" s="90"/>
      <c r="AA134" s="90"/>
      <c r="AB134" s="97" t="str">
        <f>IFERROR(CH49/#REF!,"")</f>
        <v/>
      </c>
      <c r="AC134" s="97"/>
      <c r="AD134" s="97"/>
      <c r="AE134" s="97"/>
      <c r="AF134" s="90"/>
      <c r="AG134" s="90"/>
      <c r="AH134" s="90"/>
      <c r="AI134" s="90"/>
      <c r="AJ134" s="90"/>
      <c r="AK134" s="90"/>
      <c r="AL134" s="90"/>
      <c r="AM134" s="97" t="str">
        <f>IFERROR(AVERAGE(EC49/#REF!,EA49/#REF!),"")</f>
        <v/>
      </c>
      <c r="AN134" s="98"/>
    </row>
    <row r="135" spans="1:40" s="26" customFormat="1" hidden="1">
      <c r="A135" s="27" t="s">
        <v>32</v>
      </c>
      <c r="B135" s="28"/>
      <c r="C135" s="8">
        <v>70717.204900000099</v>
      </c>
      <c r="D135" s="8">
        <v>171742.85100000058</v>
      </c>
      <c r="E135" s="8">
        <v>25964.949499999999</v>
      </c>
      <c r="F135" s="8">
        <v>58021.17400000005</v>
      </c>
      <c r="G135" s="8">
        <v>56711.424000002626</v>
      </c>
      <c r="H135" s="65">
        <f t="shared" si="128"/>
        <v>383157.60340000334</v>
      </c>
      <c r="I135" s="65" t="e">
        <f>SUM(#REF!,#REF!,#REF!,#REF!,#REF!)</f>
        <v>#REF!</v>
      </c>
      <c r="J135" s="80">
        <f t="shared" si="129"/>
        <v>1</v>
      </c>
      <c r="K135" s="83">
        <f t="shared" si="130"/>
        <v>1</v>
      </c>
      <c r="Q135" s="28"/>
      <c r="V135" s="96" t="str">
        <f>IFERROR(AVERAGE(AQ50/#REF!,AO50/#REF!),"")</f>
        <v/>
      </c>
      <c r="W135" s="90"/>
      <c r="X135" s="90"/>
      <c r="Y135" s="97" t="str">
        <f>IFERROR(AVERAGE(BT50/#REF!,BS50/#REF!),"")</f>
        <v/>
      </c>
      <c r="Z135" s="90"/>
      <c r="AA135" s="90"/>
      <c r="AB135" s="97" t="str">
        <f>IFERROR(CH50/#REF!,"")</f>
        <v/>
      </c>
      <c r="AC135" s="97"/>
      <c r="AD135" s="97"/>
      <c r="AE135" s="97"/>
      <c r="AF135" s="90"/>
      <c r="AG135" s="90"/>
      <c r="AH135" s="90"/>
      <c r="AI135" s="90"/>
      <c r="AJ135" s="97" t="str">
        <f>IFERROR(AVERAGE(DN50/#REF!,DL50/#REF!),"")</f>
        <v/>
      </c>
      <c r="AK135" s="90"/>
      <c r="AL135" s="90"/>
      <c r="AM135" s="97" t="str">
        <f>IFERROR(AVERAGE(EC50/#REF!,EA50/#REF!),"")</f>
        <v/>
      </c>
      <c r="AN135" s="98"/>
    </row>
    <row r="136" spans="1:40" s="26" customFormat="1" hidden="1">
      <c r="A136" s="27" t="s">
        <v>33</v>
      </c>
      <c r="B136" s="27"/>
      <c r="C136" s="8">
        <v>811.34399999999994</v>
      </c>
      <c r="D136" s="8">
        <v>255.73</v>
      </c>
      <c r="E136" s="8">
        <v>25.304000000000002</v>
      </c>
      <c r="F136" s="8">
        <v>407.04</v>
      </c>
      <c r="G136" s="8">
        <v>182.28299999999996</v>
      </c>
      <c r="H136" s="65">
        <f t="shared" si="128"/>
        <v>1681.7009999999998</v>
      </c>
      <c r="I136" s="65" t="e">
        <f>SUM(#REF!,#REF!,#REF!,#REF!,#REF!)</f>
        <v>#REF!</v>
      </c>
      <c r="J136" s="80">
        <f t="shared" si="129"/>
        <v>1</v>
      </c>
      <c r="K136" s="83">
        <f t="shared" si="130"/>
        <v>1</v>
      </c>
      <c r="Q136" s="27"/>
      <c r="V136" s="96" t="str">
        <f>IFERROR(AVERAGE(AQ51/#REF!,AO51/#REF!),"")</f>
        <v/>
      </c>
      <c r="W136" s="90"/>
      <c r="X136" s="90"/>
      <c r="Y136" s="97" t="str">
        <f>IFERROR(AVERAGE(BT51/#REF!,BS51/#REF!),"")</f>
        <v/>
      </c>
      <c r="Z136" s="90"/>
      <c r="AA136" s="90"/>
      <c r="AB136" s="97" t="str">
        <f>IFERROR(CH51/#REF!,"")</f>
        <v/>
      </c>
      <c r="AC136" s="97"/>
      <c r="AD136" s="97"/>
      <c r="AE136" s="97"/>
      <c r="AF136" s="90"/>
      <c r="AG136" s="90"/>
      <c r="AH136" s="90"/>
      <c r="AI136" s="90"/>
      <c r="AJ136" s="97" t="str">
        <f>IFERROR(AVERAGE(DN51/#REF!,DL51/#REF!),"")</f>
        <v/>
      </c>
      <c r="AK136" s="90"/>
      <c r="AL136" s="90"/>
      <c r="AM136" s="97" t="str">
        <f>IFERROR(AVERAGE(EC51/#REF!,EA51/#REF!),"")</f>
        <v/>
      </c>
      <c r="AN136" s="98"/>
    </row>
    <row r="137" spans="1:40" s="26" customFormat="1" hidden="1">
      <c r="A137" s="27" t="s">
        <v>34</v>
      </c>
      <c r="B137" s="28"/>
      <c r="C137" s="36">
        <v>132.24</v>
      </c>
      <c r="D137" s="8">
        <v>95134.577000000048</v>
      </c>
      <c r="E137" s="8">
        <v>5093.7739999999994</v>
      </c>
      <c r="F137" s="8">
        <v>34368.828999999991</v>
      </c>
      <c r="G137" s="8">
        <v>33599.278000000006</v>
      </c>
      <c r="H137" s="65">
        <f t="shared" si="128"/>
        <v>168328.69800000003</v>
      </c>
      <c r="I137" s="65" t="e">
        <f>SUM(AQ52,#REF!,#REF!,#REF!,#REF!)</f>
        <v>#REF!</v>
      </c>
      <c r="J137" s="80"/>
      <c r="K137" s="83">
        <f t="shared" si="130"/>
        <v>1</v>
      </c>
      <c r="L137" s="26" t="s">
        <v>134</v>
      </c>
      <c r="Q137" s="28"/>
      <c r="V137" s="99"/>
      <c r="W137" s="90"/>
      <c r="X137" s="90"/>
      <c r="Y137" s="97" t="str">
        <f>IFERROR(AVERAGE(BT52/#REF!,BS52/#REF!),"")</f>
        <v/>
      </c>
      <c r="Z137" s="90"/>
      <c r="AA137" s="90"/>
      <c r="AB137" s="97" t="str">
        <f>IFERROR(CH52/#REF!,"")</f>
        <v/>
      </c>
      <c r="AC137" s="97"/>
      <c r="AD137" s="97"/>
      <c r="AE137" s="97"/>
      <c r="AF137" s="90"/>
      <c r="AG137" s="90"/>
      <c r="AH137" s="90"/>
      <c r="AI137" s="90"/>
      <c r="AJ137" s="97" t="str">
        <f>IFERROR(AVERAGE(DN52/#REF!,DL52/#REF!),"")</f>
        <v/>
      </c>
      <c r="AK137" s="90"/>
      <c r="AL137" s="90"/>
      <c r="AM137" s="97" t="str">
        <f>IFERROR(AVERAGE(EC52/#REF!,EA52/#REF!),"")</f>
        <v/>
      </c>
      <c r="AN137" s="98"/>
    </row>
    <row r="138" spans="1:40" s="26" customFormat="1" hidden="1">
      <c r="A138" s="27" t="s">
        <v>60</v>
      </c>
      <c r="B138" s="28"/>
      <c r="C138" s="36">
        <v>10087.359999999999</v>
      </c>
      <c r="D138" s="8">
        <v>145535.47500001054</v>
      </c>
      <c r="E138" s="8">
        <v>78068.502999999881</v>
      </c>
      <c r="F138" s="8">
        <v>114750.04399999956</v>
      </c>
      <c r="G138" s="8">
        <v>93289.169999997583</v>
      </c>
      <c r="H138" s="65">
        <f t="shared" si="128"/>
        <v>441730.55200000759</v>
      </c>
      <c r="I138" s="65" t="e">
        <f>SUM(AQ53,#REF!,#REF!,#REF!,#REF!)</f>
        <v>#REF!</v>
      </c>
      <c r="J138" s="80"/>
      <c r="K138" s="83">
        <f t="shared" si="130"/>
        <v>1</v>
      </c>
      <c r="L138" s="26" t="s">
        <v>134</v>
      </c>
      <c r="Q138" s="28"/>
      <c r="V138" s="99"/>
      <c r="W138" s="90"/>
      <c r="X138" s="90"/>
      <c r="Y138" s="97" t="str">
        <f>IFERROR(AVERAGE(BT53/#REF!,BS53/#REF!),"")</f>
        <v/>
      </c>
      <c r="Z138" s="90"/>
      <c r="AA138" s="90"/>
      <c r="AB138" s="97" t="str">
        <f>IFERROR(CH53/#REF!,"")</f>
        <v/>
      </c>
      <c r="AC138" s="97"/>
      <c r="AD138" s="97"/>
      <c r="AE138" s="97"/>
      <c r="AF138" s="90"/>
      <c r="AG138" s="90"/>
      <c r="AH138" s="90"/>
      <c r="AI138" s="90"/>
      <c r="AJ138" s="97" t="str">
        <f>IFERROR(AVERAGE(DN53/#REF!,DL53/#REF!),"")</f>
        <v/>
      </c>
      <c r="AK138" s="90"/>
      <c r="AL138" s="90"/>
      <c r="AM138" s="97" t="str">
        <f>IFERROR(AVERAGE(EC53/#REF!,EA53/#REF!),"")</f>
        <v/>
      </c>
      <c r="AN138" s="98"/>
    </row>
    <row r="139" spans="1:40" s="26" customFormat="1" hidden="1">
      <c r="A139" s="27" t="s">
        <v>35</v>
      </c>
      <c r="B139" s="27"/>
      <c r="C139" s="8">
        <v>0</v>
      </c>
      <c r="D139" s="8">
        <v>4792.2169999999996</v>
      </c>
      <c r="E139" s="8" t="s">
        <v>75</v>
      </c>
      <c r="F139" s="8">
        <v>1265.27</v>
      </c>
      <c r="G139" s="8">
        <v>0</v>
      </c>
      <c r="H139" s="65">
        <f t="shared" si="128"/>
        <v>6057.4869999999992</v>
      </c>
      <c r="I139" s="65" t="e">
        <f>SUM(#REF!,#REF!,#REF!,#REF!,#REF!)</f>
        <v>#REF!</v>
      </c>
      <c r="J139" s="80">
        <f t="shared" si="129"/>
        <v>1</v>
      </c>
      <c r="K139" s="83">
        <f t="shared" si="130"/>
        <v>1</v>
      </c>
      <c r="Q139" s="27"/>
      <c r="V139" s="96" t="str">
        <f>IFERROR(AVERAGE(AQ54/#REF!,AO54/#REF!),"")</f>
        <v/>
      </c>
      <c r="W139" s="90"/>
      <c r="X139" s="90"/>
      <c r="Y139" s="97" t="str">
        <f>IFERROR(AVERAGE(BT54/#REF!,BS54/#REF!),"")</f>
        <v/>
      </c>
      <c r="Z139" s="90"/>
      <c r="AA139" s="90"/>
      <c r="AB139" s="97" t="str">
        <f>IFERROR(CH54/#REF!,"")</f>
        <v/>
      </c>
      <c r="AC139" s="97"/>
      <c r="AD139" s="97"/>
      <c r="AE139" s="97"/>
      <c r="AF139" s="90"/>
      <c r="AG139" s="90"/>
      <c r="AH139" s="90"/>
      <c r="AI139" s="90"/>
      <c r="AJ139" s="97" t="str">
        <f>IFERROR(AVERAGE(DN54/#REF!,DL54/#REF!),"")</f>
        <v/>
      </c>
      <c r="AK139" s="90"/>
      <c r="AL139" s="90"/>
      <c r="AM139" s="97" t="str">
        <f>IFERROR(AVERAGE(EC54/#REF!,EA54/#REF!),"")</f>
        <v/>
      </c>
      <c r="AN139" s="98"/>
    </row>
    <row r="140" spans="1:40" s="26" customFormat="1" hidden="1">
      <c r="A140" s="27" t="s">
        <v>61</v>
      </c>
      <c r="B140" s="28"/>
      <c r="C140" s="8">
        <v>0</v>
      </c>
      <c r="D140" s="8">
        <v>13</v>
      </c>
      <c r="E140" s="8" t="s">
        <v>75</v>
      </c>
      <c r="F140" s="8">
        <v>1265.27</v>
      </c>
      <c r="G140" s="8">
        <v>0</v>
      </c>
      <c r="H140" s="65">
        <f t="shared" si="128"/>
        <v>1278.27</v>
      </c>
      <c r="I140" s="65" t="e">
        <f>SUM(#REF!,#REF!,#REF!,#REF!,#REF!)</f>
        <v>#REF!</v>
      </c>
      <c r="J140" s="80">
        <f t="shared" si="129"/>
        <v>1</v>
      </c>
      <c r="K140" s="83">
        <f t="shared" si="130"/>
        <v>1</v>
      </c>
      <c r="Q140" s="28"/>
      <c r="V140" s="96" t="str">
        <f>IFERROR(AVERAGE(AQ55/#REF!,AO55/#REF!),"")</f>
        <v/>
      </c>
      <c r="W140" s="90"/>
      <c r="X140" s="90"/>
      <c r="Y140" s="97" t="str">
        <f>IFERROR(AVERAGE(BT55/#REF!,BS55/#REF!),"")</f>
        <v/>
      </c>
      <c r="Z140" s="90"/>
      <c r="AA140" s="90"/>
      <c r="AB140" s="97" t="str">
        <f>IFERROR(CH55/#REF!,"")</f>
        <v/>
      </c>
      <c r="AC140" s="97"/>
      <c r="AD140" s="97"/>
      <c r="AE140" s="97"/>
      <c r="AF140" s="90"/>
      <c r="AG140" s="90"/>
      <c r="AH140" s="90"/>
      <c r="AI140" s="90"/>
      <c r="AJ140" s="97" t="str">
        <f>IFERROR(AVERAGE(DN55/#REF!,DL55/#REF!),"")</f>
        <v/>
      </c>
      <c r="AK140" s="90"/>
      <c r="AL140" s="90"/>
      <c r="AM140" s="97" t="str">
        <f>IFERROR(AVERAGE(EC55/#REF!,EA55/#REF!),"")</f>
        <v/>
      </c>
      <c r="AN140" s="98"/>
    </row>
    <row r="141" spans="1:40" s="26" customFormat="1" hidden="1">
      <c r="A141" s="27" t="s">
        <v>36</v>
      </c>
      <c r="B141" s="28"/>
      <c r="C141" s="8">
        <v>1802.8750100000002</v>
      </c>
      <c r="D141" s="8">
        <v>2236.5650000000001</v>
      </c>
      <c r="E141" s="8">
        <v>54.469000000000001</v>
      </c>
      <c r="F141" s="8">
        <v>1456.268</v>
      </c>
      <c r="G141" s="8">
        <v>38.9238</v>
      </c>
      <c r="H141" s="65">
        <f t="shared" si="128"/>
        <v>5589.1008099999999</v>
      </c>
      <c r="I141" s="65" t="e">
        <f>SUM(#REF!,#REF!,#REF!,#REF!,#REF!)</f>
        <v>#REF!</v>
      </c>
      <c r="J141" s="80">
        <f t="shared" si="129"/>
        <v>1</v>
      </c>
      <c r="K141" s="83">
        <f t="shared" si="130"/>
        <v>1</v>
      </c>
      <c r="Q141" s="28"/>
      <c r="V141" s="96" t="str">
        <f>IFERROR(AVERAGE(AQ56/#REF!,AO56/#REF!),"")</f>
        <v/>
      </c>
      <c r="W141" s="90"/>
      <c r="X141" s="90"/>
      <c r="Y141" s="97" t="str">
        <f>IFERROR(AVERAGE(BT56/#REF!,BS56/#REF!),"")</f>
        <v/>
      </c>
      <c r="Z141" s="90"/>
      <c r="AA141" s="90"/>
      <c r="AB141" s="97" t="str">
        <f>IFERROR(CH56/#REF!,"")</f>
        <v/>
      </c>
      <c r="AC141" s="97"/>
      <c r="AD141" s="97"/>
      <c r="AE141" s="97"/>
      <c r="AF141" s="90"/>
      <c r="AG141" s="90"/>
      <c r="AH141" s="90"/>
      <c r="AI141" s="90"/>
      <c r="AJ141" s="97" t="str">
        <f>IFERROR(AVERAGE(DN56/#REF!,DL56/#REF!),"")</f>
        <v/>
      </c>
      <c r="AK141" s="90"/>
      <c r="AL141" s="90"/>
      <c r="AM141" s="97" t="str">
        <f>IFERROR(AVERAGE(EC56/#REF!,EA56/#REF!),"")</f>
        <v/>
      </c>
      <c r="AN141" s="98"/>
    </row>
    <row r="142" spans="1:40" s="26" customFormat="1" hidden="1">
      <c r="A142" s="27" t="s">
        <v>37</v>
      </c>
      <c r="B142" s="28"/>
      <c r="C142" s="8">
        <v>30.5</v>
      </c>
      <c r="D142" s="8">
        <v>1002.1599999999999</v>
      </c>
      <c r="E142" s="8">
        <v>4.5000000000000005E-3</v>
      </c>
      <c r="F142" s="8">
        <v>1089.55</v>
      </c>
      <c r="G142" s="8">
        <v>33.852000000000004</v>
      </c>
      <c r="H142" s="65">
        <f t="shared" si="128"/>
        <v>2156.0664999999999</v>
      </c>
      <c r="I142" s="65" t="e">
        <f>SUM(#REF!,#REF!,#REF!,#REF!,#REF!)</f>
        <v>#REF!</v>
      </c>
      <c r="J142" s="80">
        <f t="shared" si="129"/>
        <v>1</v>
      </c>
      <c r="K142" s="83">
        <f t="shared" si="130"/>
        <v>1</v>
      </c>
      <c r="Q142" s="28"/>
      <c r="V142" s="96" t="str">
        <f>IFERROR(AVERAGE(AQ57/#REF!,AO57/#REF!),"")</f>
        <v/>
      </c>
      <c r="W142" s="90"/>
      <c r="X142" s="90"/>
      <c r="Y142" s="97" t="str">
        <f>IFERROR(AVERAGE(BT57/#REF!,BS57/#REF!),"")</f>
        <v/>
      </c>
      <c r="Z142" s="90"/>
      <c r="AA142" s="90"/>
      <c r="AB142" s="97" t="str">
        <f>IFERROR(CH57/#REF!,"")</f>
        <v/>
      </c>
      <c r="AC142" s="97"/>
      <c r="AD142" s="97"/>
      <c r="AE142" s="97"/>
      <c r="AF142" s="90"/>
      <c r="AG142" s="90"/>
      <c r="AH142" s="90"/>
      <c r="AI142" s="90"/>
      <c r="AJ142" s="97" t="str">
        <f>IFERROR(AVERAGE(DN57/#REF!,DL57/#REF!),"")</f>
        <v/>
      </c>
      <c r="AK142" s="90"/>
      <c r="AL142" s="90"/>
      <c r="AM142" s="97" t="str">
        <f>IFERROR(AVERAGE(EC57/#REF!,EA57/#REF!),"")</f>
        <v/>
      </c>
      <c r="AN142" s="98"/>
    </row>
    <row r="143" spans="1:40" s="26" customFormat="1" hidden="1">
      <c r="A143" s="27" t="s">
        <v>38</v>
      </c>
      <c r="B143" s="27"/>
      <c r="C143" s="8">
        <v>0.159</v>
      </c>
      <c r="D143" s="8">
        <v>30.323</v>
      </c>
      <c r="E143" s="8">
        <v>20.82</v>
      </c>
      <c r="F143" s="8">
        <v>79.509999999999991</v>
      </c>
      <c r="G143" s="8">
        <v>15.695999999999998</v>
      </c>
      <c r="H143" s="65">
        <f t="shared" si="128"/>
        <v>146.50799999999998</v>
      </c>
      <c r="I143" s="65" t="e">
        <f>SUM(#REF!,#REF!,#REF!,#REF!,#REF!)</f>
        <v>#REF!</v>
      </c>
      <c r="J143" s="80">
        <f t="shared" si="129"/>
        <v>1</v>
      </c>
      <c r="K143" s="83">
        <f t="shared" si="130"/>
        <v>1</v>
      </c>
      <c r="Q143" s="27"/>
      <c r="V143" s="96" t="str">
        <f>IFERROR(AVERAGE(AQ58/#REF!,AO58/#REF!),"")</f>
        <v/>
      </c>
      <c r="W143" s="90"/>
      <c r="X143" s="90"/>
      <c r="Y143" s="97" t="str">
        <f>IFERROR(AVERAGE(BT58/#REF!,BS58/#REF!),"")</f>
        <v/>
      </c>
      <c r="Z143" s="90"/>
      <c r="AA143" s="90"/>
      <c r="AB143" s="97" t="str">
        <f>IFERROR(CH58/#REF!,"")</f>
        <v/>
      </c>
      <c r="AC143" s="97"/>
      <c r="AD143" s="97"/>
      <c r="AE143" s="97"/>
      <c r="AF143" s="90"/>
      <c r="AG143" s="90"/>
      <c r="AH143" s="90"/>
      <c r="AI143" s="90"/>
      <c r="AJ143" s="97" t="str">
        <f>IFERROR(AVERAGE(DN58/#REF!,DL58/#REF!),"")</f>
        <v/>
      </c>
      <c r="AK143" s="90"/>
      <c r="AL143" s="90"/>
      <c r="AM143" s="97" t="str">
        <f>IFERROR(AVERAGE(EC58/#REF!,EA58/#REF!),"")</f>
        <v/>
      </c>
      <c r="AN143" s="98"/>
    </row>
    <row r="144" spans="1:40" s="26" customFormat="1" hidden="1">
      <c r="A144" s="27" t="s">
        <v>62</v>
      </c>
      <c r="B144" s="27"/>
      <c r="C144" s="8">
        <v>0</v>
      </c>
      <c r="D144" s="8">
        <v>0</v>
      </c>
      <c r="E144" s="8" t="s">
        <v>75</v>
      </c>
      <c r="F144" s="8">
        <v>0</v>
      </c>
      <c r="G144" s="8">
        <v>0</v>
      </c>
      <c r="H144" s="65">
        <f t="shared" si="128"/>
        <v>0</v>
      </c>
      <c r="I144" s="65" t="e">
        <f>SUM(#REF!,#REF!,#REF!,#REF!,#REF!)</f>
        <v>#REF!</v>
      </c>
      <c r="J144" s="80">
        <f t="shared" si="129"/>
        <v>1</v>
      </c>
      <c r="K144" s="83">
        <f t="shared" si="130"/>
        <v>1</v>
      </c>
      <c r="Q144" s="27"/>
      <c r="V144" s="96" t="str">
        <f>IFERROR(AVERAGE(AQ59/#REF!,AO59/#REF!),"")</f>
        <v/>
      </c>
      <c r="W144" s="90"/>
      <c r="X144" s="90"/>
      <c r="Y144" s="97" t="str">
        <f>IFERROR(AVERAGE(BT59/#REF!,BS59/#REF!),"")</f>
        <v/>
      </c>
      <c r="Z144" s="90"/>
      <c r="AA144" s="90"/>
      <c r="AB144" s="97" t="str">
        <f>IFERROR(CH59/#REF!,"")</f>
        <v/>
      </c>
      <c r="AC144" s="97"/>
      <c r="AD144" s="97"/>
      <c r="AE144" s="97"/>
      <c r="AF144" s="90"/>
      <c r="AG144" s="90"/>
      <c r="AH144" s="90"/>
      <c r="AI144" s="90"/>
      <c r="AJ144" s="97" t="str">
        <f>IFERROR(AVERAGE(DN59/#REF!,DL59/#REF!),"")</f>
        <v/>
      </c>
      <c r="AK144" s="90"/>
      <c r="AL144" s="90"/>
      <c r="AM144" s="97" t="str">
        <f>IFERROR(AVERAGE(EC59/#REF!,EA59/#REF!),"")</f>
        <v/>
      </c>
      <c r="AN144" s="98"/>
    </row>
    <row r="145" spans="1:40" s="26" customFormat="1" hidden="1">
      <c r="A145" s="27" t="s">
        <v>63</v>
      </c>
      <c r="B145" s="27"/>
      <c r="C145" s="8">
        <v>0</v>
      </c>
      <c r="D145" s="8">
        <v>0.05</v>
      </c>
      <c r="E145" s="8" t="s">
        <v>75</v>
      </c>
      <c r="F145" s="8">
        <v>0</v>
      </c>
      <c r="G145" s="8">
        <v>0</v>
      </c>
      <c r="H145" s="65">
        <f t="shared" si="128"/>
        <v>0.05</v>
      </c>
      <c r="I145" s="65" t="e">
        <f>SUM(#REF!,#REF!,#REF!,#REF!,#REF!)</f>
        <v>#REF!</v>
      </c>
      <c r="J145" s="80">
        <f t="shared" si="129"/>
        <v>1</v>
      </c>
      <c r="K145" s="83">
        <f t="shared" si="130"/>
        <v>1</v>
      </c>
      <c r="Q145" s="27"/>
      <c r="V145" s="96" t="str">
        <f>IFERROR(AVERAGE(AQ60/#REF!,AO60/#REF!),"")</f>
        <v/>
      </c>
      <c r="W145" s="90"/>
      <c r="X145" s="90"/>
      <c r="Y145" s="97" t="str">
        <f>IFERROR(AVERAGE(BT60/#REF!,BS60/#REF!),"")</f>
        <v/>
      </c>
      <c r="Z145" s="90"/>
      <c r="AA145" s="90"/>
      <c r="AB145" s="97" t="str">
        <f>IFERROR(CH60/#REF!,"")</f>
        <v/>
      </c>
      <c r="AC145" s="97"/>
      <c r="AD145" s="97"/>
      <c r="AE145" s="97"/>
      <c r="AF145" s="90"/>
      <c r="AG145" s="90"/>
      <c r="AH145" s="90"/>
      <c r="AI145" s="90"/>
      <c r="AJ145" s="97" t="str">
        <f>IFERROR(AVERAGE(DN60/#REF!,DL60/#REF!),"")</f>
        <v/>
      </c>
      <c r="AK145" s="90"/>
      <c r="AL145" s="90"/>
      <c r="AM145" s="97" t="str">
        <f>IFERROR(AVERAGE(EC60/#REF!,EA60/#REF!),"")</f>
        <v/>
      </c>
      <c r="AN145" s="98"/>
    </row>
    <row r="146" spans="1:40" s="26" customFormat="1" hidden="1">
      <c r="A146" s="27" t="s">
        <v>64</v>
      </c>
      <c r="B146" s="28"/>
      <c r="C146" s="8">
        <v>0</v>
      </c>
      <c r="D146" s="8">
        <v>0</v>
      </c>
      <c r="E146" s="8">
        <v>7.6E-3</v>
      </c>
      <c r="F146" s="8">
        <v>0</v>
      </c>
      <c r="G146" s="8">
        <v>1.8039999999999998</v>
      </c>
      <c r="H146" s="65">
        <f t="shared" si="128"/>
        <v>1.8115999999999999</v>
      </c>
      <c r="I146" s="65" t="e">
        <f>SUM(#REF!,#REF!,#REF!,#REF!,#REF!)</f>
        <v>#REF!</v>
      </c>
      <c r="J146" s="80">
        <f t="shared" si="129"/>
        <v>1</v>
      </c>
      <c r="K146" s="83">
        <f t="shared" si="130"/>
        <v>1</v>
      </c>
      <c r="Q146" s="28"/>
      <c r="V146" s="96" t="str">
        <f>IFERROR(AVERAGE(AQ61/#REF!,AO61/#REF!),"")</f>
        <v/>
      </c>
      <c r="W146" s="90"/>
      <c r="X146" s="90"/>
      <c r="Y146" s="97" t="str">
        <f>IFERROR(AVERAGE(BT61/#REF!,BS61/#REF!),"")</f>
        <v/>
      </c>
      <c r="Z146" s="90"/>
      <c r="AA146" s="90"/>
      <c r="AB146" s="97" t="str">
        <f>IFERROR(CH61/#REF!,"")</f>
        <v/>
      </c>
      <c r="AC146" s="97"/>
      <c r="AD146" s="97"/>
      <c r="AE146" s="97"/>
      <c r="AF146" s="90"/>
      <c r="AG146" s="90"/>
      <c r="AH146" s="90"/>
      <c r="AI146" s="90"/>
      <c r="AJ146" s="97" t="str">
        <f>IFERROR(AVERAGE(DN61/#REF!,DL61/#REF!),"")</f>
        <v/>
      </c>
      <c r="AK146" s="90"/>
      <c r="AL146" s="90"/>
      <c r="AM146" s="97" t="str">
        <f>IFERROR(AVERAGE(EC61/#REF!,EA61/#REF!),"")</f>
        <v/>
      </c>
      <c r="AN146" s="98"/>
    </row>
    <row r="147" spans="1:40" s="26" customFormat="1" hidden="1">
      <c r="A147" s="27" t="s">
        <v>39</v>
      </c>
      <c r="B147" s="27"/>
      <c r="C147" s="8">
        <v>28.152500000000003</v>
      </c>
      <c r="D147" s="8">
        <v>140.08000000000001</v>
      </c>
      <c r="E147" s="8">
        <v>4.1110100000000003</v>
      </c>
      <c r="F147" s="8">
        <v>65.215000000000003</v>
      </c>
      <c r="G147" s="8">
        <v>117.06999999999994</v>
      </c>
      <c r="H147" s="65">
        <f t="shared" si="128"/>
        <v>354.62850999999995</v>
      </c>
      <c r="I147" s="65" t="e">
        <f>SUM(#REF!,#REF!,#REF!,#REF!,#REF!)</f>
        <v>#REF!</v>
      </c>
      <c r="J147" s="80">
        <f t="shared" si="129"/>
        <v>1</v>
      </c>
      <c r="K147" s="83">
        <f t="shared" si="130"/>
        <v>1</v>
      </c>
      <c r="Q147" s="27"/>
      <c r="V147" s="96" t="str">
        <f>IFERROR(AVERAGE(AQ62/#REF!,AO62/#REF!),"")</f>
        <v/>
      </c>
      <c r="W147" s="90"/>
      <c r="X147" s="90"/>
      <c r="Y147" s="97" t="str">
        <f>IFERROR(AVERAGE(BT62/#REF!,BS62/#REF!),"")</f>
        <v/>
      </c>
      <c r="Z147" s="90"/>
      <c r="AA147" s="90"/>
      <c r="AB147" s="97" t="str">
        <f>IFERROR(CH62/#REF!,"")</f>
        <v/>
      </c>
      <c r="AC147" s="97"/>
      <c r="AD147" s="97"/>
      <c r="AE147" s="97"/>
      <c r="AF147" s="90"/>
      <c r="AG147" s="90"/>
      <c r="AH147" s="90"/>
      <c r="AI147" s="90"/>
      <c r="AJ147" s="97" t="str">
        <f>IFERROR(AVERAGE(DN62/#REF!,DL62/#REF!),"")</f>
        <v/>
      </c>
      <c r="AK147" s="90"/>
      <c r="AL147" s="90"/>
      <c r="AM147" s="97" t="str">
        <f>IFERROR(AVERAGE(EC62/#REF!,EA62/#REF!),"")</f>
        <v/>
      </c>
      <c r="AN147" s="98"/>
    </row>
    <row r="148" spans="1:40" s="26" customFormat="1" ht="15" hidden="1" customHeight="1">
      <c r="A148" s="27" t="s">
        <v>40</v>
      </c>
      <c r="B148" s="28"/>
      <c r="C148" s="8">
        <v>0</v>
      </c>
      <c r="D148" s="8">
        <v>219.12</v>
      </c>
      <c r="E148" s="8">
        <v>499</v>
      </c>
      <c r="F148" s="8">
        <v>151.26200000000003</v>
      </c>
      <c r="G148" s="8">
        <v>14.818</v>
      </c>
      <c r="H148" s="65">
        <f t="shared" si="128"/>
        <v>884.2</v>
      </c>
      <c r="I148" s="65" t="e">
        <f>SUM(#REF!,#REF!,#REF!,#REF!,#REF!)</f>
        <v>#REF!</v>
      </c>
      <c r="J148" s="80">
        <f t="shared" si="129"/>
        <v>1</v>
      </c>
      <c r="K148" s="83">
        <f t="shared" si="130"/>
        <v>1</v>
      </c>
      <c r="Q148" s="28"/>
      <c r="V148" s="96" t="str">
        <f>IFERROR(AVERAGE(AQ63/#REF!,AO63/#REF!),"")</f>
        <v/>
      </c>
      <c r="W148" s="90"/>
      <c r="X148" s="90"/>
      <c r="Y148" s="97" t="str">
        <f>IFERROR(AVERAGE(BT63/#REF!,BS63/#REF!),"")</f>
        <v/>
      </c>
      <c r="Z148" s="90"/>
      <c r="AA148" s="90"/>
      <c r="AB148" s="97" t="str">
        <f>IFERROR(CH63/#REF!,"")</f>
        <v/>
      </c>
      <c r="AC148" s="97"/>
      <c r="AD148" s="97"/>
      <c r="AE148" s="97"/>
      <c r="AF148" s="90"/>
      <c r="AG148" s="90"/>
      <c r="AH148" s="90"/>
      <c r="AI148" s="90"/>
      <c r="AJ148" s="97" t="str">
        <f>IFERROR(AVERAGE(DN63/#REF!,DL63/#REF!),"")</f>
        <v/>
      </c>
      <c r="AK148" s="90"/>
      <c r="AL148" s="90"/>
      <c r="AM148" s="97" t="str">
        <f>IFERROR(AVERAGE(EC63/#REF!,EA63/#REF!),"")</f>
        <v/>
      </c>
      <c r="AN148" s="98"/>
    </row>
    <row r="149" spans="1:40" s="26" customFormat="1" hidden="1">
      <c r="A149" s="27" t="s">
        <v>41</v>
      </c>
      <c r="C149" s="8">
        <v>9168.0906999999934</v>
      </c>
      <c r="D149" s="8">
        <v>6745.8830000000016</v>
      </c>
      <c r="E149" s="8">
        <v>148.833</v>
      </c>
      <c r="F149" s="8">
        <v>2194.8580000000006</v>
      </c>
      <c r="G149" s="8">
        <v>955.70970000000023</v>
      </c>
      <c r="H149" s="65">
        <f t="shared" si="128"/>
        <v>19213.374399999997</v>
      </c>
      <c r="I149" s="65" t="e">
        <f>SUM(#REF!,#REF!,#REF!,#REF!,#REF!)</f>
        <v>#REF!</v>
      </c>
      <c r="J149" s="80">
        <f t="shared" si="129"/>
        <v>1</v>
      </c>
      <c r="K149" s="83">
        <f t="shared" si="130"/>
        <v>1</v>
      </c>
      <c r="V149" s="96" t="str">
        <f>IFERROR(AVERAGE(AQ64/#REF!,AO64/#REF!),"")</f>
        <v/>
      </c>
      <c r="W149" s="90"/>
      <c r="X149" s="90"/>
      <c r="Y149" s="97" t="str">
        <f>IFERROR(AVERAGE(BT64/#REF!,BS64/#REF!),"")</f>
        <v/>
      </c>
      <c r="Z149" s="90"/>
      <c r="AA149" s="90"/>
      <c r="AB149" s="97" t="str">
        <f>IFERROR(CH64/#REF!,"")</f>
        <v/>
      </c>
      <c r="AC149" s="97"/>
      <c r="AD149" s="97"/>
      <c r="AE149" s="97"/>
      <c r="AF149" s="90"/>
      <c r="AG149" s="90"/>
      <c r="AH149" s="90"/>
      <c r="AI149" s="90"/>
      <c r="AJ149" s="97" t="str">
        <f>IFERROR(AVERAGE(DN64/#REF!,DL64/#REF!),"")</f>
        <v/>
      </c>
      <c r="AK149" s="90"/>
      <c r="AL149" s="90"/>
      <c r="AM149" s="97" t="str">
        <f>IFERROR(AVERAGE(EC64/#REF!,EA64/#REF!),"")</f>
        <v/>
      </c>
      <c r="AN149" s="98"/>
    </row>
    <row r="150" spans="1:40" s="26" customFormat="1" hidden="1">
      <c r="A150" s="27" t="s">
        <v>42</v>
      </c>
      <c r="C150" s="8">
        <v>0</v>
      </c>
      <c r="D150" s="8">
        <v>0.41499999999999998</v>
      </c>
      <c r="E150" s="8">
        <v>2.4300000000000002E-2</v>
      </c>
      <c r="F150" s="8">
        <v>0.27</v>
      </c>
      <c r="G150" s="8">
        <v>2.8050000000000002</v>
      </c>
      <c r="H150" s="65">
        <f t="shared" si="128"/>
        <v>3.5143000000000004</v>
      </c>
      <c r="I150" s="65" t="e">
        <f>SUM(#REF!,#REF!,#REF!,#REF!,#REF!)</f>
        <v>#REF!</v>
      </c>
      <c r="J150" s="80">
        <f t="shared" si="129"/>
        <v>1</v>
      </c>
      <c r="K150" s="83">
        <f t="shared" si="130"/>
        <v>1</v>
      </c>
      <c r="V150" s="96" t="str">
        <f>IFERROR(AVERAGE(AQ65/#REF!,AO65/#REF!),"")</f>
        <v/>
      </c>
      <c r="W150" s="90"/>
      <c r="X150" s="90"/>
      <c r="Y150" s="97" t="str">
        <f>IFERROR(AVERAGE(BT65/#REF!,BS65/#REF!),"")</f>
        <v/>
      </c>
      <c r="Z150" s="90"/>
      <c r="AA150" s="90"/>
      <c r="AB150" s="97" t="str">
        <f>IFERROR(CH65/#REF!,"")</f>
        <v/>
      </c>
      <c r="AC150" s="97"/>
      <c r="AD150" s="97"/>
      <c r="AE150" s="97"/>
      <c r="AF150" s="90"/>
      <c r="AG150" s="90"/>
      <c r="AH150" s="90"/>
      <c r="AI150" s="90"/>
      <c r="AJ150" s="97" t="str">
        <f>IFERROR(AVERAGE(DN65/#REF!,DL65/#REF!),"")</f>
        <v/>
      </c>
      <c r="AK150" s="90"/>
      <c r="AL150" s="90"/>
      <c r="AM150" s="97" t="str">
        <f>IFERROR(AVERAGE(EC65/#REF!,EA65/#REF!),"")</f>
        <v/>
      </c>
      <c r="AN150" s="98"/>
    </row>
    <row r="151" spans="1:40" s="26" customFormat="1" hidden="1">
      <c r="A151" s="27" t="s">
        <v>43</v>
      </c>
      <c r="C151" s="8">
        <v>523736.61085999996</v>
      </c>
      <c r="D151" s="8">
        <v>4020.5460000000039</v>
      </c>
      <c r="E151" s="8">
        <v>17467.416431000001</v>
      </c>
      <c r="F151" s="8">
        <v>33420.834000000053</v>
      </c>
      <c r="G151" s="8">
        <v>2265.862999999983</v>
      </c>
      <c r="H151" s="65">
        <f t="shared" si="128"/>
        <v>580911.27029100002</v>
      </c>
      <c r="I151" s="65" t="e">
        <f>SUM(#REF!,#REF!,#REF!,#REF!,#REF!)</f>
        <v>#REF!</v>
      </c>
      <c r="J151" s="80">
        <f t="shared" si="129"/>
        <v>1</v>
      </c>
      <c r="K151" s="83">
        <f t="shared" si="130"/>
        <v>1</v>
      </c>
      <c r="V151" s="96" t="str">
        <f>IFERROR(AVERAGE(AQ67/#REF!,AO67/#REF!),"")</f>
        <v/>
      </c>
      <c r="W151" s="90"/>
      <c r="X151" s="90"/>
      <c r="Y151" s="97" t="str">
        <f>IFERROR(AVERAGE(BT67/#REF!,BS67/#REF!),"")</f>
        <v/>
      </c>
      <c r="Z151" s="90"/>
      <c r="AA151" s="90"/>
      <c r="AB151" s="97" t="str">
        <f>IFERROR(CH67/#REF!,"")</f>
        <v/>
      </c>
      <c r="AC151" s="97"/>
      <c r="AD151" s="97"/>
      <c r="AE151" s="97"/>
      <c r="AF151" s="90"/>
      <c r="AG151" s="90"/>
      <c r="AH151" s="90"/>
      <c r="AI151" s="90"/>
      <c r="AJ151" s="97" t="str">
        <f>IFERROR(AVERAGE(DN67/#REF!,DL67/#REF!),"")</f>
        <v/>
      </c>
      <c r="AK151" s="90"/>
      <c r="AL151" s="90"/>
      <c r="AM151" s="97" t="str">
        <f>IFERROR(AVERAGE(EC67/#REF!,EA67/#REF!),"")</f>
        <v/>
      </c>
      <c r="AN151" s="98"/>
    </row>
    <row r="152" spans="1:40" s="26" customFormat="1" hidden="1">
      <c r="A152" s="27" t="s">
        <v>44</v>
      </c>
      <c r="C152" s="7">
        <v>348376.65</v>
      </c>
      <c r="D152" s="8">
        <v>573594</v>
      </c>
      <c r="E152" s="8">
        <v>228185.0576299997</v>
      </c>
      <c r="F152" s="8">
        <v>452152.53800000768</v>
      </c>
      <c r="G152" s="8">
        <v>5080.9634999999935</v>
      </c>
      <c r="H152" s="65">
        <f t="shared" si="128"/>
        <v>1607389.2091300073</v>
      </c>
      <c r="I152" s="65" t="e">
        <f>SUM(AQ68,BT68,#REF!,#REF!,#REF!)</f>
        <v>#REF!</v>
      </c>
      <c r="J152" s="80">
        <f t="shared" si="129"/>
        <v>1</v>
      </c>
      <c r="K152" s="83">
        <f t="shared" si="130"/>
        <v>1</v>
      </c>
      <c r="V152" s="99"/>
      <c r="W152" s="90"/>
      <c r="X152" s="90"/>
      <c r="Y152" s="90"/>
      <c r="Z152" s="90"/>
      <c r="AA152" s="90"/>
      <c r="AB152" s="97" t="str">
        <f>IFERROR(CH68/#REF!,"")</f>
        <v/>
      </c>
      <c r="AC152" s="97"/>
      <c r="AD152" s="97"/>
      <c r="AE152" s="97"/>
      <c r="AF152" s="90"/>
      <c r="AG152" s="90"/>
      <c r="AH152" s="90"/>
      <c r="AI152" s="90"/>
      <c r="AJ152" s="97" t="str">
        <f>IFERROR(AVERAGE(DN68/#REF!,DL68/#REF!),"")</f>
        <v/>
      </c>
      <c r="AK152" s="90"/>
      <c r="AL152" s="90"/>
      <c r="AM152" s="97" t="str">
        <f>IFERROR(AVERAGE(EC68/#REF!,EA68/#REF!),"")</f>
        <v/>
      </c>
      <c r="AN152" s="98"/>
    </row>
    <row r="153" spans="1:40" s="26" customFormat="1" hidden="1">
      <c r="A153" s="27" t="s">
        <v>45</v>
      </c>
      <c r="C153" s="8">
        <v>27.504000000000001</v>
      </c>
      <c r="D153" s="8">
        <v>1444.8990000000001</v>
      </c>
      <c r="E153" s="8">
        <v>0</v>
      </c>
      <c r="F153" s="8">
        <v>1379.2979999999998</v>
      </c>
      <c r="G153" s="8">
        <v>38.699999999999996</v>
      </c>
      <c r="H153" s="65">
        <f t="shared" si="128"/>
        <v>2890.4009999999998</v>
      </c>
      <c r="I153" s="65" t="e">
        <f>SUM(#REF!,#REF!,#REF!,#REF!,#REF!)</f>
        <v>#REF!</v>
      </c>
      <c r="J153" s="80">
        <f t="shared" si="129"/>
        <v>1</v>
      </c>
      <c r="K153" s="83">
        <f t="shared" si="130"/>
        <v>1</v>
      </c>
      <c r="V153" s="96" t="str">
        <f>IFERROR(AVERAGE(AQ69/#REF!,AO69/#REF!),"")</f>
        <v/>
      </c>
      <c r="W153" s="90"/>
      <c r="X153" s="90"/>
      <c r="Y153" s="97" t="str">
        <f>IFERROR(AVERAGE(BT69/#REF!,BS69/#REF!),"")</f>
        <v/>
      </c>
      <c r="Z153" s="90"/>
      <c r="AA153" s="90"/>
      <c r="AB153" s="97" t="str">
        <f>IFERROR(CH69/#REF!,"")</f>
        <v/>
      </c>
      <c r="AC153" s="97"/>
      <c r="AD153" s="97"/>
      <c r="AE153" s="97"/>
      <c r="AF153" s="90"/>
      <c r="AG153" s="90"/>
      <c r="AH153" s="90"/>
      <c r="AI153" s="90"/>
      <c r="AJ153" s="97" t="str">
        <f>IFERROR(AVERAGE(DN69/#REF!,DL69/#REF!),"")</f>
        <v/>
      </c>
      <c r="AK153" s="90"/>
      <c r="AL153" s="90"/>
      <c r="AM153" s="97" t="str">
        <f>IFERROR(AVERAGE(EC69/#REF!,EA69/#REF!),"")</f>
        <v/>
      </c>
      <c r="AN153" s="98"/>
    </row>
    <row r="154" spans="1:40" s="26" customFormat="1" hidden="1">
      <c r="A154" s="27" t="s">
        <v>46</v>
      </c>
      <c r="C154" s="8">
        <v>0</v>
      </c>
      <c r="D154" s="8">
        <v>2777.521999999999</v>
      </c>
      <c r="E154" s="8">
        <v>608.91599999999994</v>
      </c>
      <c r="F154" s="8">
        <v>269.78999999999996</v>
      </c>
      <c r="G154" s="8">
        <v>67.34</v>
      </c>
      <c r="H154" s="65">
        <f t="shared" si="128"/>
        <v>3723.5679999999993</v>
      </c>
      <c r="I154" s="65" t="e">
        <f>SUM(#REF!,#REF!,#REF!,#REF!,#REF!)</f>
        <v>#REF!</v>
      </c>
      <c r="J154" s="80">
        <f t="shared" si="129"/>
        <v>1</v>
      </c>
      <c r="K154" s="83">
        <f t="shared" si="130"/>
        <v>1</v>
      </c>
      <c r="V154" s="96" t="str">
        <f>IFERROR(AVERAGE(AQ70/#REF!,AO70/#REF!),"")</f>
        <v/>
      </c>
      <c r="W154" s="90"/>
      <c r="X154" s="90"/>
      <c r="Y154" s="97" t="str">
        <f>IFERROR(AVERAGE(BT70/#REF!,BS70/#REF!),"")</f>
        <v/>
      </c>
      <c r="Z154" s="90"/>
      <c r="AA154" s="90"/>
      <c r="AB154" s="97" t="str">
        <f>IFERROR(CH70/#REF!,"")</f>
        <v/>
      </c>
      <c r="AC154" s="97"/>
      <c r="AD154" s="97"/>
      <c r="AE154" s="97"/>
      <c r="AF154" s="90"/>
      <c r="AG154" s="90"/>
      <c r="AH154" s="90"/>
      <c r="AI154" s="90"/>
      <c r="AJ154" s="97" t="str">
        <f>IFERROR(AVERAGE(DN70/#REF!,DL70/#REF!),"")</f>
        <v/>
      </c>
      <c r="AK154" s="90"/>
      <c r="AL154" s="90"/>
      <c r="AM154" s="97" t="str">
        <f>IFERROR(AVERAGE(EC70/#REF!,EA70/#REF!),"")</f>
        <v/>
      </c>
      <c r="AN154" s="98"/>
    </row>
    <row r="155" spans="1:40" s="26" customFormat="1" hidden="1">
      <c r="A155" s="27" t="s">
        <v>47</v>
      </c>
      <c r="C155" s="8">
        <v>7498.8299999999936</v>
      </c>
      <c r="D155" s="8">
        <v>6320.8720000000003</v>
      </c>
      <c r="E155" s="8">
        <v>0</v>
      </c>
      <c r="F155" s="8">
        <v>28439.915000000008</v>
      </c>
      <c r="G155" s="8">
        <v>1152.2980000000025</v>
      </c>
      <c r="H155" s="65">
        <f t="shared" si="128"/>
        <v>43411.915000000001</v>
      </c>
      <c r="I155" s="65" t="e">
        <f>SUM(#REF!,#REF!,#REF!,#REF!,#REF!)</f>
        <v>#REF!</v>
      </c>
      <c r="J155" s="80">
        <f t="shared" si="129"/>
        <v>1</v>
      </c>
      <c r="K155" s="83">
        <f t="shared" si="130"/>
        <v>1</v>
      </c>
      <c r="V155" s="96" t="str">
        <f>IFERROR(AVERAGE(AQ71/#REF!,AO71/#REF!),"")</f>
        <v/>
      </c>
      <c r="W155" s="90"/>
      <c r="X155" s="90"/>
      <c r="Y155" s="90"/>
      <c r="Z155" s="90"/>
      <c r="AA155" s="90"/>
      <c r="AB155" s="90"/>
      <c r="AC155" s="90"/>
      <c r="AD155" s="90"/>
      <c r="AE155" s="90"/>
      <c r="AF155" s="90"/>
      <c r="AG155" s="90"/>
      <c r="AH155" s="90"/>
      <c r="AI155" s="90"/>
      <c r="AJ155" s="90"/>
      <c r="AK155" s="90"/>
      <c r="AL155" s="90"/>
      <c r="AM155" s="97" t="str">
        <f>IFERROR(AVERAGE(EC71/#REF!,EA71/#REF!),"")</f>
        <v/>
      </c>
      <c r="AN155" s="98"/>
    </row>
    <row r="156" spans="1:40" s="26" customFormat="1" hidden="1">
      <c r="A156" s="27" t="s">
        <v>48</v>
      </c>
      <c r="C156" s="8">
        <v>8654.510999999995</v>
      </c>
      <c r="D156" s="8">
        <v>8110.2100000000009</v>
      </c>
      <c r="E156" s="8">
        <v>320.27666399999998</v>
      </c>
      <c r="F156" s="8">
        <v>3253.4310000000005</v>
      </c>
      <c r="G156" s="8">
        <v>0</v>
      </c>
      <c r="H156" s="65">
        <f t="shared" si="128"/>
        <v>20338.428663999999</v>
      </c>
      <c r="I156" s="65" t="e">
        <f>SUM(#REF!,#REF!,#REF!,#REF!,#REF!)</f>
        <v>#REF!</v>
      </c>
      <c r="J156" s="80">
        <f t="shared" si="129"/>
        <v>1</v>
      </c>
      <c r="K156" s="83">
        <f t="shared" si="130"/>
        <v>1</v>
      </c>
      <c r="V156" s="96" t="str">
        <f>IFERROR(AVERAGE(AQ72/#REF!,AO72/#REF!),"")</f>
        <v/>
      </c>
      <c r="W156" s="90"/>
      <c r="X156" s="90"/>
      <c r="Y156" s="97" t="str">
        <f>IFERROR(AVERAGE(BT72/#REF!,BS72/#REF!),"")</f>
        <v/>
      </c>
      <c r="Z156" s="90"/>
      <c r="AA156" s="90"/>
      <c r="AB156" s="97" t="str">
        <f>IFERROR(CH72/#REF!,"")</f>
        <v/>
      </c>
      <c r="AC156" s="97"/>
      <c r="AD156" s="97"/>
      <c r="AE156" s="97"/>
      <c r="AF156" s="90"/>
      <c r="AG156" s="90"/>
      <c r="AH156" s="90"/>
      <c r="AI156" s="90"/>
      <c r="AJ156" s="97" t="str">
        <f>IFERROR(AVERAGE(DN72/#REF!,DL72/#REF!),"")</f>
        <v/>
      </c>
      <c r="AK156" s="90"/>
      <c r="AL156" s="90"/>
      <c r="AM156" s="97" t="str">
        <f>IFERROR(AVERAGE(EC72/#REF!,EA72/#REF!),"")</f>
        <v/>
      </c>
      <c r="AN156" s="98"/>
    </row>
    <row r="157" spans="1:40" s="26" customFormat="1" hidden="1">
      <c r="A157" s="27" t="s">
        <v>65</v>
      </c>
      <c r="C157" s="46">
        <v>14802.222499999998</v>
      </c>
      <c r="D157" s="8">
        <v>106472.55300000009</v>
      </c>
      <c r="E157" s="8">
        <v>26219.959999999992</v>
      </c>
      <c r="F157" s="46">
        <v>25798.70300000003</v>
      </c>
      <c r="G157" s="46">
        <v>15085.929999999993</v>
      </c>
      <c r="H157" s="65">
        <f t="shared" si="128"/>
        <v>188379.3685000001</v>
      </c>
      <c r="I157" s="65" t="e">
        <f>SUM(AQ73,#REF!,#REF!,DN73,EC73)</f>
        <v>#REF!</v>
      </c>
      <c r="J157" s="80"/>
      <c r="K157" s="83">
        <f t="shared" si="130"/>
        <v>1</v>
      </c>
      <c r="L157" s="26" t="s">
        <v>134</v>
      </c>
      <c r="V157" s="96" t="str">
        <f>IFERROR(AVERAGE(AQ73/#REF!,AO73/#REF!),"")</f>
        <v/>
      </c>
      <c r="W157" s="90"/>
      <c r="X157" s="90"/>
      <c r="Y157" s="97" t="str">
        <f>IFERROR(AVERAGE(BT73/#REF!,BS73/#REF!),"")</f>
        <v/>
      </c>
      <c r="Z157" s="90"/>
      <c r="AA157" s="90"/>
      <c r="AB157" s="97" t="str">
        <f>IFERROR(CH73/#REF!,"")</f>
        <v/>
      </c>
      <c r="AC157" s="97"/>
      <c r="AD157" s="97"/>
      <c r="AE157" s="97"/>
      <c r="AF157" s="90"/>
      <c r="AG157" s="90"/>
      <c r="AH157" s="90"/>
      <c r="AI157" s="90"/>
      <c r="AJ157" s="97" t="str">
        <f>IFERROR(AVERAGE(DN73/#REF!,DL73/#REF!),"")</f>
        <v/>
      </c>
      <c r="AK157" s="90"/>
      <c r="AL157" s="90"/>
      <c r="AM157" s="97" t="str">
        <f>IFERROR(AVERAGE(EC73/#REF!,EA73/#REF!),"")</f>
        <v/>
      </c>
      <c r="AN157" s="98"/>
    </row>
    <row r="158" spans="1:40" s="26" customFormat="1" hidden="1">
      <c r="A158" s="27" t="s">
        <v>49</v>
      </c>
      <c r="C158" s="8">
        <v>675398</v>
      </c>
      <c r="D158" s="8">
        <v>146439.54099999982</v>
      </c>
      <c r="E158" s="8">
        <v>11810.56342000002</v>
      </c>
      <c r="F158" s="8">
        <v>118625.83999999858</v>
      </c>
      <c r="G158" s="7">
        <v>39000</v>
      </c>
      <c r="H158" s="65">
        <f t="shared" si="128"/>
        <v>991273.94441999844</v>
      </c>
      <c r="I158" s="65" t="e">
        <f>SUM(AQ74,#REF!,#REF!,#REF!,EC74)</f>
        <v>#REF!</v>
      </c>
      <c r="J158" s="80">
        <f t="shared" si="129"/>
        <v>1</v>
      </c>
      <c r="K158" s="83">
        <f t="shared" si="130"/>
        <v>1</v>
      </c>
      <c r="V158" s="99"/>
      <c r="W158" s="90"/>
      <c r="X158" s="90"/>
      <c r="Y158" s="97" t="str">
        <f>IFERROR(AVERAGE(BT74/#REF!,BS74/#REF!),"")</f>
        <v/>
      </c>
      <c r="Z158" s="90"/>
      <c r="AA158" s="90"/>
      <c r="AB158" s="97" t="str">
        <f>IFERROR(CH74/#REF!,"")</f>
        <v/>
      </c>
      <c r="AC158" s="97"/>
      <c r="AD158" s="97"/>
      <c r="AE158" s="97"/>
      <c r="AF158" s="90"/>
      <c r="AG158" s="90"/>
      <c r="AH158" s="90"/>
      <c r="AI158" s="90"/>
      <c r="AJ158" s="97" t="str">
        <f>IFERROR(AVERAGE(DN74/#REF!,DL74/#REF!),"")</f>
        <v/>
      </c>
      <c r="AK158" s="90"/>
      <c r="AL158" s="90"/>
      <c r="AM158" s="90"/>
      <c r="AN158" s="98"/>
    </row>
    <row r="159" spans="1:40" s="26" customFormat="1" hidden="1">
      <c r="A159" s="27" t="s">
        <v>50</v>
      </c>
      <c r="C159" s="8">
        <v>0</v>
      </c>
      <c r="D159" s="8">
        <v>0</v>
      </c>
      <c r="E159" s="8">
        <v>109.61500000000001</v>
      </c>
      <c r="F159" s="8">
        <v>102.29899999999999</v>
      </c>
      <c r="G159" s="8">
        <v>64.625</v>
      </c>
      <c r="H159" s="65">
        <f t="shared" si="128"/>
        <v>276.53899999999999</v>
      </c>
      <c r="I159" s="65" t="e">
        <f>SUM(#REF!,#REF!,#REF!,#REF!,#REF!)</f>
        <v>#REF!</v>
      </c>
      <c r="J159" s="80">
        <f t="shared" si="129"/>
        <v>1</v>
      </c>
      <c r="K159" s="83">
        <f t="shared" ref="K159" si="131">IF(AND(H159&gt;5000,ISNUMBER(J159),OR(J159&gt;1.1,J159&lt;0.9)),J159,1)</f>
        <v>1</v>
      </c>
      <c r="V159" s="96" t="str">
        <f>IFERROR(AVERAGE(AQ75/#REF!,AO75/#REF!),"")</f>
        <v/>
      </c>
      <c r="W159" s="90"/>
      <c r="X159" s="90"/>
      <c r="Y159" s="97" t="str">
        <f>IFERROR(AVERAGE(BT75/#REF!,BS75/#REF!),"")</f>
        <v/>
      </c>
      <c r="Z159" s="90"/>
      <c r="AA159" s="90"/>
      <c r="AB159" s="97" t="str">
        <f>IFERROR(CH75/#REF!,"")</f>
        <v/>
      </c>
      <c r="AC159" s="97"/>
      <c r="AD159" s="97"/>
      <c r="AE159" s="97"/>
      <c r="AF159" s="90"/>
      <c r="AG159" s="90"/>
      <c r="AH159" s="90"/>
      <c r="AI159" s="90"/>
      <c r="AJ159" s="97" t="str">
        <f>IFERROR(AVERAGE(DN75/#REF!,DL75/#REF!),"")</f>
        <v/>
      </c>
      <c r="AK159" s="90"/>
      <c r="AL159" s="90"/>
      <c r="AM159" s="97" t="str">
        <f>IFERROR(AVERAGE(EC75/#REF!,EA75/#REF!),"")</f>
        <v/>
      </c>
      <c r="AN159" s="98"/>
    </row>
    <row r="160" spans="1:40" s="26" customFormat="1" hidden="1">
      <c r="A160" s="27" t="s">
        <v>51</v>
      </c>
      <c r="C160" s="36">
        <v>1267.11598</v>
      </c>
      <c r="D160" s="8">
        <v>23163.263000001203</v>
      </c>
      <c r="E160" s="8">
        <v>39192.462299999861</v>
      </c>
      <c r="F160" s="8">
        <v>14237.484000000308</v>
      </c>
      <c r="G160" s="8">
        <v>2929.5131749999864</v>
      </c>
      <c r="H160" s="65">
        <f t="shared" ref="H160:H167" si="132">SUM(C160:G160)</f>
        <v>80789.838455001358</v>
      </c>
      <c r="I160" s="65" t="e">
        <f>SUM(AQ76,#REF!,#REF!,#REF!,#REF!)</f>
        <v>#REF!</v>
      </c>
      <c r="J160" s="80">
        <f t="shared" ref="J160:J167" si="133">IFERROR(I160/H160,1)</f>
        <v>1</v>
      </c>
      <c r="K160" s="83">
        <f t="shared" ref="K160:K167" si="134">IF(AND(H160&gt;5000,ISNUMBER(J160),OR(J160&gt;1.1,J160&lt;0.9)),J160,1)</f>
        <v>1</v>
      </c>
      <c r="V160" s="99"/>
      <c r="W160" s="90"/>
      <c r="X160" s="90"/>
      <c r="Y160" s="97" t="str">
        <f>IFERROR(AVERAGE(BT76/#REF!,BS76/#REF!),"")</f>
        <v/>
      </c>
      <c r="Z160" s="90"/>
      <c r="AA160" s="90"/>
      <c r="AB160" s="97" t="str">
        <f>IFERROR(CH76/#REF!,"")</f>
        <v/>
      </c>
      <c r="AC160" s="97"/>
      <c r="AD160" s="97"/>
      <c r="AE160" s="97"/>
      <c r="AF160" s="90"/>
      <c r="AG160" s="90"/>
      <c r="AH160" s="90"/>
      <c r="AI160" s="90"/>
      <c r="AJ160" s="97" t="str">
        <f>IFERROR(AVERAGE(DN76/#REF!,DL76/#REF!),"")</f>
        <v/>
      </c>
      <c r="AK160" s="90"/>
      <c r="AL160" s="90"/>
      <c r="AM160" s="97" t="str">
        <f>IFERROR(AVERAGE(EC76/#REF!,EA76/#REF!),"")</f>
        <v/>
      </c>
      <c r="AN160" s="98"/>
    </row>
    <row r="161" spans="1:136" s="26" customFormat="1" hidden="1">
      <c r="A161" s="27" t="s">
        <v>52</v>
      </c>
      <c r="C161" s="36">
        <v>130.78917000000001</v>
      </c>
      <c r="D161" s="8">
        <v>931.0350000000002</v>
      </c>
      <c r="E161" s="8">
        <v>137.77385299999995</v>
      </c>
      <c r="F161" s="8">
        <v>1384.0009999999857</v>
      </c>
      <c r="G161" s="8">
        <v>41.106000000000002</v>
      </c>
      <c r="H161" s="65">
        <f t="shared" si="132"/>
        <v>2624.7050229999863</v>
      </c>
      <c r="I161" s="65" t="e">
        <f>SUM(AQ77,#REF!,#REF!,#REF!,#REF!)</f>
        <v>#REF!</v>
      </c>
      <c r="J161" s="80">
        <f t="shared" si="133"/>
        <v>1</v>
      </c>
      <c r="K161" s="83">
        <f t="shared" si="134"/>
        <v>1</v>
      </c>
      <c r="V161" s="99"/>
      <c r="W161" s="90"/>
      <c r="X161" s="90"/>
      <c r="Y161" s="97" t="str">
        <f>IFERROR(AVERAGE(BT77/#REF!,BS77/#REF!),"")</f>
        <v/>
      </c>
      <c r="Z161" s="90"/>
      <c r="AA161" s="90"/>
      <c r="AB161" s="97" t="str">
        <f>IFERROR(CH77/#REF!,"")</f>
        <v/>
      </c>
      <c r="AC161" s="97"/>
      <c r="AD161" s="97"/>
      <c r="AE161" s="97"/>
      <c r="AF161" s="90"/>
      <c r="AG161" s="90"/>
      <c r="AH161" s="90"/>
      <c r="AI161" s="90"/>
      <c r="AJ161" s="97" t="str">
        <f>IFERROR(AVERAGE(DN77/#REF!,DL77/#REF!),"")</f>
        <v/>
      </c>
      <c r="AK161" s="90"/>
      <c r="AL161" s="90"/>
      <c r="AM161" s="97" t="str">
        <f>IFERROR(AVERAGE(EC77/#REF!,EA77/#REF!),"")</f>
        <v/>
      </c>
      <c r="AN161" s="98"/>
    </row>
    <row r="162" spans="1:136" s="26" customFormat="1" hidden="1">
      <c r="A162" s="27" t="s">
        <v>53</v>
      </c>
      <c r="C162" s="8">
        <v>507.38102999999967</v>
      </c>
      <c r="D162" s="8">
        <v>767.47200000000009</v>
      </c>
      <c r="E162" s="8">
        <v>116.66476499999997</v>
      </c>
      <c r="F162" s="8">
        <v>704.76599999999985</v>
      </c>
      <c r="G162" s="8">
        <v>4.0999999999999996</v>
      </c>
      <c r="H162" s="65">
        <f t="shared" si="132"/>
        <v>2100.3837949999993</v>
      </c>
      <c r="I162" s="65" t="e">
        <f>SUM(#REF!,#REF!,#REF!,#REF!,#REF!)</f>
        <v>#REF!</v>
      </c>
      <c r="J162" s="80">
        <f t="shared" si="133"/>
        <v>1</v>
      </c>
      <c r="K162" s="83">
        <f t="shared" si="134"/>
        <v>1</v>
      </c>
      <c r="V162" s="96" t="str">
        <f>IFERROR(AVERAGE(AQ78/#REF!,AO78/#REF!),"")</f>
        <v/>
      </c>
      <c r="W162" s="90"/>
      <c r="X162" s="90"/>
      <c r="Y162" s="97" t="str">
        <f>IFERROR(AVERAGE(BT78/#REF!,BS78/#REF!),"")</f>
        <v/>
      </c>
      <c r="Z162" s="90"/>
      <c r="AA162" s="90"/>
      <c r="AB162" s="97" t="str">
        <f>IFERROR(CH78/#REF!,"")</f>
        <v/>
      </c>
      <c r="AC162" s="97"/>
      <c r="AD162" s="97"/>
      <c r="AE162" s="97"/>
      <c r="AF162" s="90"/>
      <c r="AG162" s="90"/>
      <c r="AH162" s="90"/>
      <c r="AI162" s="90"/>
      <c r="AJ162" s="97" t="str">
        <f>IFERROR(AVERAGE(DN78/#REF!,DL78/#REF!),"")</f>
        <v/>
      </c>
      <c r="AK162" s="90"/>
      <c r="AL162" s="90"/>
      <c r="AM162" s="97" t="str">
        <f>IFERROR(AVERAGE(EC78/#REF!,EA78/#REF!),"")</f>
        <v/>
      </c>
      <c r="AN162" s="98"/>
    </row>
    <row r="163" spans="1:136" s="26" customFormat="1" hidden="1">
      <c r="A163" s="27" t="s">
        <v>54</v>
      </c>
      <c r="C163" s="8">
        <v>4130.0449199999975</v>
      </c>
      <c r="D163" s="8">
        <v>782.91899999999953</v>
      </c>
      <c r="E163" s="8">
        <v>280.91144400000007</v>
      </c>
      <c r="F163" s="8">
        <v>1089.6140000000003</v>
      </c>
      <c r="G163" s="8">
        <v>208.8154000000001</v>
      </c>
      <c r="H163" s="65">
        <f t="shared" si="132"/>
        <v>6492.3047639999986</v>
      </c>
      <c r="I163" s="65" t="e">
        <f>SUM(#REF!,#REF!,#REF!,#REF!,#REF!)</f>
        <v>#REF!</v>
      </c>
      <c r="J163" s="80">
        <f t="shared" si="133"/>
        <v>1</v>
      </c>
      <c r="K163" s="83">
        <f t="shared" si="134"/>
        <v>1</v>
      </c>
      <c r="V163" s="96" t="str">
        <f>IFERROR(AVERAGE(AQ79/#REF!,AO79/#REF!),"")</f>
        <v/>
      </c>
      <c r="W163" s="90"/>
      <c r="X163" s="90"/>
      <c r="Y163" s="97" t="str">
        <f>IFERROR(AVERAGE(BT79/#REF!,BS79/#REF!),"")</f>
        <v/>
      </c>
      <c r="Z163" s="90"/>
      <c r="AA163" s="90"/>
      <c r="AB163" s="97" t="str">
        <f>IFERROR(CH79/#REF!,"")</f>
        <v/>
      </c>
      <c r="AC163" s="97"/>
      <c r="AD163" s="97"/>
      <c r="AE163" s="97"/>
      <c r="AF163" s="90"/>
      <c r="AG163" s="90"/>
      <c r="AH163" s="90"/>
      <c r="AI163" s="90"/>
      <c r="AJ163" s="97" t="str">
        <f>IFERROR(AVERAGE(DN79/#REF!,DL79/#REF!),"")</f>
        <v/>
      </c>
      <c r="AK163" s="90"/>
      <c r="AL163" s="90"/>
      <c r="AM163" s="97" t="str">
        <f>IFERROR(AVERAGE(EC79/#REF!,EA79/#REF!),"")</f>
        <v/>
      </c>
      <c r="AN163" s="98"/>
    </row>
    <row r="164" spans="1:136" s="26" customFormat="1" hidden="1">
      <c r="A164" s="27" t="s">
        <v>55</v>
      </c>
      <c r="C164" s="8">
        <v>88.74199999999999</v>
      </c>
      <c r="D164" s="8">
        <v>80.831999999999979</v>
      </c>
      <c r="E164" s="8">
        <v>2265.9618599999999</v>
      </c>
      <c r="F164" s="8">
        <v>266.416</v>
      </c>
      <c r="G164" s="8">
        <v>16.545000000000002</v>
      </c>
      <c r="H164" s="65">
        <f t="shared" si="132"/>
        <v>2718.4968600000002</v>
      </c>
      <c r="I164" s="65" t="e">
        <f>SUM(#REF!,#REF!,#REF!,#REF!,#REF!)</f>
        <v>#REF!</v>
      </c>
      <c r="J164" s="80">
        <f t="shared" si="133"/>
        <v>1</v>
      </c>
      <c r="K164" s="83">
        <f t="shared" si="134"/>
        <v>1</v>
      </c>
      <c r="V164" s="96" t="str">
        <f>IFERROR(AVERAGE(AQ80/#REF!,AO80/#REF!),"")</f>
        <v/>
      </c>
      <c r="W164" s="90"/>
      <c r="X164" s="90"/>
      <c r="Y164" s="97" t="str">
        <f>IFERROR(AVERAGE(BT80/#REF!,BS80/#REF!),"")</f>
        <v/>
      </c>
      <c r="Z164" s="90"/>
      <c r="AA164" s="90"/>
      <c r="AB164" s="97" t="str">
        <f>IFERROR(CH80/#REF!,"")</f>
        <v/>
      </c>
      <c r="AC164" s="97"/>
      <c r="AD164" s="97"/>
      <c r="AE164" s="97"/>
      <c r="AF164" s="90"/>
      <c r="AG164" s="90"/>
      <c r="AH164" s="90"/>
      <c r="AI164" s="90"/>
      <c r="AJ164" s="97" t="str">
        <f>IFERROR(AVERAGE(DN80/#REF!,DL80/#REF!),"")</f>
        <v/>
      </c>
      <c r="AK164" s="90"/>
      <c r="AL164" s="90"/>
      <c r="AM164" s="97" t="str">
        <f>IFERROR(AVERAGE(EC80/#REF!,EA80/#REF!),"")</f>
        <v/>
      </c>
      <c r="AN164" s="98"/>
    </row>
    <row r="165" spans="1:136" s="26" customFormat="1" hidden="1">
      <c r="A165" s="27" t="s">
        <v>66</v>
      </c>
      <c r="C165" s="39">
        <v>34897.449999999997</v>
      </c>
      <c r="D165" s="8">
        <v>49540.813000000126</v>
      </c>
      <c r="E165" s="39">
        <v>1178790.71</v>
      </c>
      <c r="F165" s="39">
        <v>0</v>
      </c>
      <c r="G165" s="39">
        <v>37168.290740000077</v>
      </c>
      <c r="H165" s="65">
        <f t="shared" si="132"/>
        <v>1300397.2637400001</v>
      </c>
      <c r="I165" s="65">
        <f>SUM(AQ81,BT81,CJ81,DN81,EC81)</f>
        <v>398039.93567925761</v>
      </c>
      <c r="J165" s="80"/>
      <c r="K165" s="83">
        <f t="shared" si="134"/>
        <v>1</v>
      </c>
      <c r="L165" s="26" t="s">
        <v>134</v>
      </c>
      <c r="V165" s="99"/>
      <c r="W165" s="90"/>
      <c r="X165" s="90"/>
      <c r="Y165" s="90"/>
      <c r="Z165" s="90"/>
      <c r="AA165" s="90"/>
      <c r="AB165" s="90"/>
      <c r="AC165" s="90"/>
      <c r="AD165" s="90"/>
      <c r="AE165" s="90"/>
      <c r="AF165" s="90"/>
      <c r="AG165" s="90"/>
      <c r="AH165" s="90"/>
      <c r="AI165" s="90"/>
      <c r="AJ165" s="90"/>
      <c r="AK165" s="90"/>
      <c r="AL165" s="90"/>
      <c r="AM165" s="90"/>
      <c r="AN165" s="98"/>
    </row>
    <row r="166" spans="1:136" s="26" customFormat="1" hidden="1">
      <c r="A166" s="27" t="s">
        <v>71</v>
      </c>
      <c r="C166" s="8">
        <v>0</v>
      </c>
      <c r="D166" s="8">
        <v>1067.645</v>
      </c>
      <c r="E166" s="8" t="s">
        <v>75</v>
      </c>
      <c r="F166" s="8">
        <v>39.82</v>
      </c>
      <c r="G166" s="8">
        <v>84.710000000000036</v>
      </c>
      <c r="H166" s="65">
        <f t="shared" si="132"/>
        <v>1192.175</v>
      </c>
      <c r="I166" s="65" t="e">
        <f>SUM(#REF!,#REF!,#REF!,#REF!,#REF!)</f>
        <v>#REF!</v>
      </c>
      <c r="J166" s="80">
        <f t="shared" si="133"/>
        <v>1</v>
      </c>
      <c r="K166" s="83">
        <f t="shared" si="134"/>
        <v>1</v>
      </c>
      <c r="V166" s="96" t="str">
        <f>IFERROR(AVERAGE(AQ82/#REF!,AO82/#REF!),"")</f>
        <v/>
      </c>
      <c r="W166" s="90"/>
      <c r="X166" s="90"/>
      <c r="Y166" s="97" t="str">
        <f>IFERROR(AVERAGE(BT82/#REF!,BS82/#REF!),"")</f>
        <v/>
      </c>
      <c r="Z166" s="90"/>
      <c r="AA166" s="90"/>
      <c r="AB166" s="97" t="str">
        <f>IFERROR(CH82/#REF!,"")</f>
        <v/>
      </c>
      <c r="AC166" s="97"/>
      <c r="AD166" s="97"/>
      <c r="AE166" s="97"/>
      <c r="AF166" s="90"/>
      <c r="AG166" s="90"/>
      <c r="AH166" s="90"/>
      <c r="AI166" s="90"/>
      <c r="AJ166" s="97" t="str">
        <f>IFERROR(AVERAGE(DN82/#REF!,DL82/#REF!),"")</f>
        <v/>
      </c>
      <c r="AK166" s="90"/>
      <c r="AL166" s="90"/>
      <c r="AM166" s="97" t="str">
        <f>IFERROR(AVERAGE(EC82/#REF!,EA82/#REF!),"")</f>
        <v/>
      </c>
      <c r="AN166" s="98"/>
    </row>
    <row r="167" spans="1:136" s="26" customFormat="1" hidden="1">
      <c r="A167" s="29" t="s">
        <v>84</v>
      </c>
      <c r="C167" s="8">
        <v>17663.0615500001</v>
      </c>
      <c r="D167" s="8">
        <v>70633.083000000319</v>
      </c>
      <c r="E167" s="8">
        <v>0</v>
      </c>
      <c r="F167" s="8">
        <v>-9.1961993575750967E-11</v>
      </c>
      <c r="G167" s="8">
        <v>39616.200900000316</v>
      </c>
      <c r="H167" s="65">
        <f t="shared" si="132"/>
        <v>127912.34545000065</v>
      </c>
      <c r="I167" s="65" t="e">
        <f>SUM(#REF!,#REF!,#REF!,#REF!,#REF!)</f>
        <v>#REF!</v>
      </c>
      <c r="J167" s="80">
        <f t="shared" si="133"/>
        <v>1</v>
      </c>
      <c r="K167" s="84">
        <f t="shared" si="134"/>
        <v>1</v>
      </c>
      <c r="V167" s="100"/>
      <c r="W167" s="101"/>
      <c r="X167" s="101"/>
      <c r="Y167" s="101"/>
      <c r="Z167" s="101"/>
      <c r="AA167" s="101"/>
      <c r="AB167" s="101"/>
      <c r="AC167" s="101"/>
      <c r="AD167" s="101"/>
      <c r="AE167" s="101"/>
      <c r="AF167" s="101"/>
      <c r="AG167" s="101"/>
      <c r="AH167" s="101"/>
      <c r="AI167" s="101"/>
      <c r="AJ167" s="102" t="str">
        <f>IFERROR(AVERAGE(DN83/#REF!,DL83/#REF!),"")</f>
        <v/>
      </c>
      <c r="AK167" s="101"/>
      <c r="AL167" s="101"/>
      <c r="AM167" s="102" t="str">
        <f>IFERROR(AVERAGE(EC83/#REF!,EA83/#REF!),"")</f>
        <v/>
      </c>
      <c r="AN167" s="103"/>
    </row>
    <row r="168" spans="1:136" s="26" customFormat="1" hidden="1"/>
    <row r="169" spans="1:136" s="694" customFormat="1" ht="5.25" customHeight="1"/>
    <row r="170" spans="1:136" s="694" customFormat="1">
      <c r="A170" s="694" t="s">
        <v>770</v>
      </c>
      <c r="C170" s="695">
        <v>4995406.4709113454</v>
      </c>
      <c r="D170" s="695">
        <v>6010006.8824874321</v>
      </c>
      <c r="E170" s="695">
        <v>4773543.1702198572</v>
      </c>
      <c r="F170" s="695">
        <v>4880337.3426416796</v>
      </c>
      <c r="G170" s="695">
        <v>5348260.8375255521</v>
      </c>
      <c r="H170" s="695">
        <v>5333624.0141894883</v>
      </c>
      <c r="I170" s="695">
        <v>5751420.769959881</v>
      </c>
      <c r="J170" s="695">
        <v>5915165.1696938565</v>
      </c>
      <c r="K170" s="695">
        <v>5919784.5921636</v>
      </c>
      <c r="L170" s="695">
        <v>5809265.6758692525</v>
      </c>
      <c r="M170" s="695">
        <v>6305375.9134089341</v>
      </c>
    </row>
    <row r="171" spans="1:136" s="694" customFormat="1" ht="3.75" customHeight="1"/>
    <row r="172" spans="1:136" s="434" customFormat="1">
      <c r="A172" s="436" t="s">
        <v>725</v>
      </c>
    </row>
    <row r="173" spans="1:136" s="434" customFormat="1">
      <c r="A173" s="435" t="s">
        <v>726</v>
      </c>
      <c r="C173" s="319">
        <f>C68</f>
        <v>1787365.5977730257</v>
      </c>
      <c r="D173" s="319">
        <f t="shared" ref="D173:O173" si="135">D68</f>
        <v>2672023.3237425997</v>
      </c>
      <c r="E173" s="319">
        <f t="shared" si="135"/>
        <v>1543707.1933789905</v>
      </c>
      <c r="F173" s="319">
        <f t="shared" si="135"/>
        <v>1381258.4998796931</v>
      </c>
      <c r="G173" s="319">
        <f t="shared" si="135"/>
        <v>1533287.6418324434</v>
      </c>
      <c r="H173" s="319">
        <f t="shared" si="135"/>
        <v>1540951.0364555854</v>
      </c>
      <c r="I173" s="319">
        <f t="shared" si="135"/>
        <v>1448787.846063613</v>
      </c>
      <c r="J173" s="319">
        <f t="shared" si="135"/>
        <v>1738921.5461586704</v>
      </c>
      <c r="K173" s="319">
        <f t="shared" si="135"/>
        <v>1469235.7992916661</v>
      </c>
      <c r="L173" s="319">
        <f t="shared" si="135"/>
        <v>1723790.3265761631</v>
      </c>
      <c r="M173" s="319">
        <f t="shared" si="135"/>
        <v>2101916.3680097284</v>
      </c>
      <c r="N173" s="319">
        <f t="shared" si="135"/>
        <v>2842215.3428155584</v>
      </c>
      <c r="O173" s="319">
        <f t="shared" si="135"/>
        <v>2649760.1102890032</v>
      </c>
      <c r="P173" s="319">
        <f t="shared" ref="P173" si="136">P68</f>
        <v>2582442.450818378</v>
      </c>
      <c r="R173" s="319">
        <f>R68</f>
        <v>246.98740374167409</v>
      </c>
      <c r="S173" s="319">
        <f t="shared" ref="S173:AD173" si="137">S68</f>
        <v>251.21722753403535</v>
      </c>
      <c r="T173" s="319">
        <f t="shared" si="137"/>
        <v>256.27184871817718</v>
      </c>
      <c r="U173" s="319">
        <f t="shared" si="137"/>
        <v>261.20457506654259</v>
      </c>
      <c r="V173" s="319">
        <f t="shared" si="137"/>
        <v>266.2949618013015</v>
      </c>
      <c r="W173" s="319">
        <f t="shared" si="137"/>
        <v>271.37950926249022</v>
      </c>
      <c r="X173" s="319">
        <f t="shared" si="137"/>
        <v>277.35673567071223</v>
      </c>
      <c r="Y173" s="319">
        <f t="shared" si="137"/>
        <v>282.26610492479711</v>
      </c>
      <c r="Z173" s="319">
        <f t="shared" si="137"/>
        <v>598.91999999999996</v>
      </c>
      <c r="AA173" s="319">
        <f t="shared" si="137"/>
        <v>8.870000000000001</v>
      </c>
      <c r="AB173" s="319">
        <f t="shared" si="137"/>
        <v>22.561999999999998</v>
      </c>
      <c r="AC173" s="319">
        <f t="shared" si="137"/>
        <v>787.47799999999995</v>
      </c>
      <c r="AD173" s="319">
        <f t="shared" si="137"/>
        <v>15</v>
      </c>
      <c r="AE173" s="319">
        <f t="shared" ref="AE173" si="138">AE68</f>
        <v>22401</v>
      </c>
      <c r="AG173" s="319">
        <f>AG68</f>
        <v>455345.83867459197</v>
      </c>
      <c r="AH173" s="319">
        <f t="shared" ref="AH173:AS173" si="139">AH68</f>
        <v>461900.89273635863</v>
      </c>
      <c r="AI173" s="319">
        <f t="shared" si="139"/>
        <v>469813.90020374733</v>
      </c>
      <c r="AJ173" s="319">
        <f t="shared" si="139"/>
        <v>476505.16562105366</v>
      </c>
      <c r="AK173" s="319">
        <f t="shared" si="139"/>
        <v>481764.8698213945</v>
      </c>
      <c r="AL173" s="319">
        <f t="shared" si="139"/>
        <v>487279.34964586556</v>
      </c>
      <c r="AM173" s="319">
        <f t="shared" si="139"/>
        <v>493738.78736199473</v>
      </c>
      <c r="AN173" s="319">
        <f t="shared" si="139"/>
        <v>555300</v>
      </c>
      <c r="AO173" s="319">
        <f t="shared" si="139"/>
        <v>453629.66700000002</v>
      </c>
      <c r="AP173" s="319">
        <f t="shared" si="139"/>
        <v>613242</v>
      </c>
      <c r="AQ173" s="319">
        <f t="shared" si="139"/>
        <v>352783.4824479791</v>
      </c>
      <c r="AR173" s="319">
        <f t="shared" si="139"/>
        <v>697395.99168000009</v>
      </c>
      <c r="AS173" s="319">
        <f t="shared" si="139"/>
        <v>822851.07200000004</v>
      </c>
      <c r="AT173" s="319">
        <f t="shared" ref="AT173" si="140">AT68</f>
        <v>839864.1574400001</v>
      </c>
      <c r="AV173" s="319">
        <f>AV68</f>
        <v>6262.1742136811663</v>
      </c>
      <c r="AW173" s="319">
        <f t="shared" ref="AW173:BH173" si="141">AW68</f>
        <v>6428.0248393310258</v>
      </c>
      <c r="AX173" s="319">
        <f t="shared" si="141"/>
        <v>6603.3416216425958</v>
      </c>
      <c r="AY173" s="319">
        <f t="shared" si="141"/>
        <v>6759.3403224909234</v>
      </c>
      <c r="AZ173" s="319">
        <f t="shared" si="141"/>
        <v>6834.0012947820396</v>
      </c>
      <c r="BA173" s="319">
        <f t="shared" si="141"/>
        <v>6906.941147680116</v>
      </c>
      <c r="BB173" s="319">
        <f t="shared" si="141"/>
        <v>7105.1072736578872</v>
      </c>
      <c r="BC173" s="319">
        <f t="shared" si="141"/>
        <v>7212.9146315011394</v>
      </c>
      <c r="BD173" s="319">
        <f t="shared" si="141"/>
        <v>12064.803589770108</v>
      </c>
      <c r="BE173" s="319">
        <f t="shared" si="141"/>
        <v>6068.8130961605675</v>
      </c>
      <c r="BF173" s="319">
        <f t="shared" si="141"/>
        <v>8646.16960930192</v>
      </c>
      <c r="BG173" s="319">
        <f t="shared" si="141"/>
        <v>8686.4299295539895</v>
      </c>
      <c r="BH173" s="319">
        <f t="shared" si="141"/>
        <v>622.69000000000005</v>
      </c>
      <c r="BI173" s="319">
        <f t="shared" ref="BI173" si="142">BI68</f>
        <v>2333.8000000000002</v>
      </c>
      <c r="BK173" s="319">
        <f>BK68</f>
        <v>693604.23272666661</v>
      </c>
      <c r="BL173" s="319">
        <f t="shared" ref="BL173:BW173" si="143">BL68</f>
        <v>1508000</v>
      </c>
      <c r="BM173" s="319">
        <f t="shared" si="143"/>
        <v>712729</v>
      </c>
      <c r="BN173" s="319">
        <f t="shared" si="143"/>
        <v>543803</v>
      </c>
      <c r="BO173" s="319">
        <f t="shared" si="143"/>
        <v>428076</v>
      </c>
      <c r="BP173" s="319">
        <f t="shared" si="143"/>
        <v>238564</v>
      </c>
      <c r="BQ173" s="319">
        <f t="shared" si="143"/>
        <v>327585</v>
      </c>
      <c r="BR173" s="319">
        <f t="shared" si="143"/>
        <v>708379</v>
      </c>
      <c r="BS173" s="319">
        <f t="shared" si="143"/>
        <v>418738.913</v>
      </c>
      <c r="BT173" s="319">
        <f t="shared" si="143"/>
        <v>573594</v>
      </c>
      <c r="BU173" s="319">
        <f t="shared" si="143"/>
        <v>1047257</v>
      </c>
      <c r="BV173" s="319">
        <f t="shared" si="143"/>
        <v>988781.29171999986</v>
      </c>
      <c r="BW173" s="319">
        <f t="shared" si="143"/>
        <v>827743.58799999999</v>
      </c>
      <c r="BX173" s="319">
        <f t="shared" ref="BX173" si="144">BX68</f>
        <v>353302.64400000003</v>
      </c>
      <c r="BZ173" s="319">
        <f>BZ68</f>
        <v>29853.73</v>
      </c>
      <c r="CA173" s="319">
        <f t="shared" ref="CA173:CL173" si="145">CA68</f>
        <v>188350.77999999997</v>
      </c>
      <c r="CB173" s="319">
        <f t="shared" si="145"/>
        <v>41506.86</v>
      </c>
      <c r="CC173" s="319">
        <f t="shared" si="145"/>
        <v>56466.409999999996</v>
      </c>
      <c r="CD173" s="319">
        <f t="shared" si="145"/>
        <v>202655.41</v>
      </c>
      <c r="CE173" s="319">
        <f t="shared" si="145"/>
        <v>427945.96</v>
      </c>
      <c r="CF173" s="319">
        <f t="shared" si="145"/>
        <v>257835.39</v>
      </c>
      <c r="CG173" s="319">
        <f t="shared" si="145"/>
        <v>145386.85999999999</v>
      </c>
      <c r="CH173" s="319">
        <f t="shared" si="145"/>
        <v>206303.05315389636</v>
      </c>
      <c r="CI173" s="319">
        <f t="shared" si="145"/>
        <v>158835.50384000011</v>
      </c>
      <c r="CJ173" s="319">
        <f t="shared" si="145"/>
        <v>227582.18512999971</v>
      </c>
      <c r="CK173" s="319">
        <f t="shared" si="145"/>
        <v>361540.4748199996</v>
      </c>
      <c r="CL173" s="319">
        <f t="shared" si="145"/>
        <v>223197.90492999999</v>
      </c>
      <c r="CM173" s="319">
        <f t="shared" ref="CM173" si="146">CM68</f>
        <v>220576.97223238047</v>
      </c>
      <c r="CO173" s="319">
        <f>CO68</f>
        <v>5379.7733723464644</v>
      </c>
      <c r="CP173" s="319">
        <f t="shared" ref="CP173:DA173" si="147">CP68</f>
        <v>5427.3087593765677</v>
      </c>
      <c r="CQ173" s="319">
        <f t="shared" si="147"/>
        <v>5492.0610848819988</v>
      </c>
      <c r="CR173" s="319">
        <f t="shared" si="147"/>
        <v>5543.3616510828015</v>
      </c>
      <c r="CS173" s="319">
        <f t="shared" si="147"/>
        <v>5584.4940444650538</v>
      </c>
      <c r="CT173" s="319">
        <f t="shared" si="147"/>
        <v>5602.236356778154</v>
      </c>
      <c r="CU173" s="319">
        <f t="shared" si="147"/>
        <v>5605.0274052913201</v>
      </c>
      <c r="CV173" s="319">
        <f t="shared" si="147"/>
        <v>5617.5925962447063</v>
      </c>
      <c r="CW173" s="319">
        <f t="shared" si="147"/>
        <v>5629.3149999999996</v>
      </c>
      <c r="CX173" s="319">
        <f t="shared" si="147"/>
        <v>4578.5600000000004</v>
      </c>
      <c r="CY173" s="319">
        <f t="shared" si="147"/>
        <v>9773.16</v>
      </c>
      <c r="CZ173" s="319">
        <f t="shared" si="147"/>
        <v>12711.32</v>
      </c>
      <c r="DA173" s="319">
        <f t="shared" si="147"/>
        <v>36845</v>
      </c>
      <c r="DB173" s="319">
        <f t="shared" ref="DB173" si="148">DB68</f>
        <v>84416.89</v>
      </c>
      <c r="DD173" s="319">
        <f>DD68</f>
        <v>583818.8629999978</v>
      </c>
      <c r="DE173" s="319">
        <f t="shared" ref="DE173:DP173" si="149">DE68</f>
        <v>494999.15499999974</v>
      </c>
      <c r="DF173" s="319">
        <f t="shared" si="149"/>
        <v>299986.0400000005</v>
      </c>
      <c r="DG173" s="319">
        <f t="shared" si="149"/>
        <v>281692.21399999951</v>
      </c>
      <c r="DH173" s="319">
        <f t="shared" si="149"/>
        <v>401109.14100000041</v>
      </c>
      <c r="DI173" s="319">
        <f t="shared" si="149"/>
        <v>369366.92199999903</v>
      </c>
      <c r="DJ173" s="319">
        <f t="shared" si="149"/>
        <v>352854.29899999831</v>
      </c>
      <c r="DK173" s="319">
        <f t="shared" si="149"/>
        <v>313563.66699999943</v>
      </c>
      <c r="DL173" s="319">
        <f t="shared" si="149"/>
        <v>358930.07499999995</v>
      </c>
      <c r="DM173" s="319">
        <f t="shared" si="149"/>
        <v>353234.30200000212</v>
      </c>
      <c r="DN173" s="319">
        <f t="shared" si="149"/>
        <v>450809.25579844799</v>
      </c>
      <c r="DO173" s="319">
        <f t="shared" si="149"/>
        <v>761715.39600000461</v>
      </c>
      <c r="DP173" s="319">
        <f t="shared" si="149"/>
        <v>734401.41812900337</v>
      </c>
      <c r="DQ173" s="319">
        <f t="shared" ref="DQ173" si="150">DQ68</f>
        <v>1054877.2499959974</v>
      </c>
      <c r="DS173" s="319">
        <f>DS68</f>
        <v>12853.998382000002</v>
      </c>
      <c r="DT173" s="319">
        <f t="shared" ref="DT173:EE173" si="151">DT68</f>
        <v>6665.9451800000024</v>
      </c>
      <c r="DU173" s="319">
        <f t="shared" si="151"/>
        <v>7319.7186200000006</v>
      </c>
      <c r="DV173" s="319">
        <f t="shared" si="151"/>
        <v>10227.80371</v>
      </c>
      <c r="DW173" s="319">
        <f t="shared" si="151"/>
        <v>6997.4307099999996</v>
      </c>
      <c r="DX173" s="319">
        <f t="shared" si="151"/>
        <v>5014.2477960000006</v>
      </c>
      <c r="DY173" s="319">
        <f t="shared" si="151"/>
        <v>3786.8782869999995</v>
      </c>
      <c r="DZ173" s="319">
        <f t="shared" si="151"/>
        <v>3179.2458259999994</v>
      </c>
      <c r="EA173" s="319">
        <f t="shared" si="151"/>
        <v>13341.052548</v>
      </c>
      <c r="EB173" s="319">
        <f t="shared" si="151"/>
        <v>14228.27764</v>
      </c>
      <c r="EC173" s="319">
        <f t="shared" si="151"/>
        <v>5042.5530239999971</v>
      </c>
      <c r="ED173" s="319">
        <f t="shared" si="151"/>
        <v>10596.960665999999</v>
      </c>
      <c r="EE173" s="319">
        <f t="shared" si="151"/>
        <v>4083.4372300000005</v>
      </c>
      <c r="EF173" s="319">
        <f t="shared" ref="EF173" si="152">EF68</f>
        <v>4669.7371500000017</v>
      </c>
    </row>
    <row r="174" spans="1:136" s="434" customFormat="1">
      <c r="A174" s="435" t="s">
        <v>727</v>
      </c>
      <c r="C174" s="319">
        <f>C74</f>
        <v>315654.21649788524</v>
      </c>
      <c r="D174" s="319">
        <f t="shared" ref="D174:O174" si="153">D74</f>
        <v>317926.35282575304</v>
      </c>
      <c r="E174" s="319">
        <f t="shared" si="153"/>
        <v>344741.07563549437</v>
      </c>
      <c r="F174" s="319">
        <f t="shared" si="153"/>
        <v>366484.84410364099</v>
      </c>
      <c r="G174" s="319">
        <f t="shared" si="153"/>
        <v>368544.45284319913</v>
      </c>
      <c r="H174" s="319">
        <f t="shared" si="153"/>
        <v>425756.81890011806</v>
      </c>
      <c r="I174" s="319">
        <f t="shared" si="153"/>
        <v>778861.30999801587</v>
      </c>
      <c r="J174" s="319">
        <f t="shared" si="153"/>
        <v>683463.75260122283</v>
      </c>
      <c r="K174" s="319">
        <f t="shared" si="153"/>
        <v>612725.47315094562</v>
      </c>
      <c r="L174" s="319">
        <f t="shared" si="153"/>
        <v>892313.92537051125</v>
      </c>
      <c r="M174" s="319">
        <f t="shared" si="153"/>
        <v>1234423.5716863368</v>
      </c>
      <c r="N174" s="319">
        <f t="shared" si="153"/>
        <v>1623813.7393088939</v>
      </c>
      <c r="O174" s="319">
        <f t="shared" si="153"/>
        <v>1699105.3064821295</v>
      </c>
      <c r="P174" s="319">
        <f t="shared" ref="P174" si="154">P74</f>
        <v>1326502.577476759</v>
      </c>
      <c r="R174" s="319">
        <f>R74</f>
        <v>372</v>
      </c>
      <c r="S174" s="319">
        <f t="shared" ref="S174:AD174" si="155">S74</f>
        <v>23.56</v>
      </c>
      <c r="T174" s="319">
        <f t="shared" si="155"/>
        <v>18661.03</v>
      </c>
      <c r="U174" s="319">
        <f t="shared" si="155"/>
        <v>170</v>
      </c>
      <c r="V174" s="319">
        <f t="shared" si="155"/>
        <v>1125.54</v>
      </c>
      <c r="W174" s="319">
        <f t="shared" si="155"/>
        <v>4756.68</v>
      </c>
      <c r="X174" s="319">
        <f t="shared" si="155"/>
        <v>5954.079999999999</v>
      </c>
      <c r="Y174" s="319">
        <f t="shared" si="155"/>
        <v>6679.5099999999993</v>
      </c>
      <c r="Z174" s="319">
        <f t="shared" si="155"/>
        <v>5856</v>
      </c>
      <c r="AA174" s="319">
        <f t="shared" si="155"/>
        <v>68405</v>
      </c>
      <c r="AB174" s="319">
        <f t="shared" si="155"/>
        <v>208474</v>
      </c>
      <c r="AC174" s="319">
        <f t="shared" si="155"/>
        <v>94293</v>
      </c>
      <c r="AD174" s="319">
        <f t="shared" si="155"/>
        <v>48176</v>
      </c>
      <c r="AE174" s="319">
        <f t="shared" ref="AE174" si="156">AE74</f>
        <v>12417</v>
      </c>
      <c r="AG174" s="319">
        <f>AG74</f>
        <v>208186.98795964816</v>
      </c>
      <c r="AH174" s="319">
        <f t="shared" ref="AH174:AS174" si="157">AH74</f>
        <v>211184</v>
      </c>
      <c r="AI174" s="319">
        <f t="shared" si="157"/>
        <v>222299</v>
      </c>
      <c r="AJ174" s="319">
        <f t="shared" si="157"/>
        <v>227936</v>
      </c>
      <c r="AK174" s="319">
        <f t="shared" si="157"/>
        <v>194700</v>
      </c>
      <c r="AL174" s="319">
        <f t="shared" si="157"/>
        <v>207300</v>
      </c>
      <c r="AM174" s="319">
        <f t="shared" si="157"/>
        <v>531000</v>
      </c>
      <c r="AN174" s="319">
        <f t="shared" si="157"/>
        <v>420000</v>
      </c>
      <c r="AO174" s="319">
        <f t="shared" si="157"/>
        <v>306465.15619999997</v>
      </c>
      <c r="AP174" s="319">
        <f t="shared" si="157"/>
        <v>508156</v>
      </c>
      <c r="AQ174" s="319">
        <f t="shared" si="157"/>
        <v>682444.00971245882</v>
      </c>
      <c r="AR174" s="319">
        <f t="shared" si="157"/>
        <v>1158050.2272319649</v>
      </c>
      <c r="AS174" s="319">
        <f t="shared" si="157"/>
        <v>1318778.7040000001</v>
      </c>
      <c r="AT174" s="319">
        <f t="shared" ref="AT174" si="158">AT74</f>
        <v>904497.98199999996</v>
      </c>
      <c r="AV174" s="319">
        <f>AV74</f>
        <v>1579.4245382370787</v>
      </c>
      <c r="AW174" s="319">
        <f t="shared" ref="AW174:BH174" si="159">AW74</f>
        <v>1621.2548257530459</v>
      </c>
      <c r="AX174" s="319">
        <f t="shared" si="159"/>
        <v>1665.4726354943832</v>
      </c>
      <c r="AY174" s="319">
        <f t="shared" si="159"/>
        <v>1704.8181036409994</v>
      </c>
      <c r="AZ174" s="319">
        <f t="shared" si="159"/>
        <v>1723.6488431990911</v>
      </c>
      <c r="BA174" s="319">
        <f t="shared" si="159"/>
        <v>1758.1006556357916</v>
      </c>
      <c r="BB174" s="319">
        <f t="shared" si="159"/>
        <v>1801.3759476150087</v>
      </c>
      <c r="BC174" s="319">
        <f t="shared" si="159"/>
        <v>1810.11</v>
      </c>
      <c r="BD174" s="319">
        <f t="shared" si="159"/>
        <v>1999.94</v>
      </c>
      <c r="BE174" s="319">
        <f t="shared" si="159"/>
        <v>5982.08</v>
      </c>
      <c r="BF174" s="319">
        <f t="shared" si="159"/>
        <v>5913</v>
      </c>
      <c r="BG174" s="319">
        <f t="shared" si="159"/>
        <v>5225</v>
      </c>
      <c r="BH174" s="319">
        <f t="shared" si="159"/>
        <v>7117.6900000000005</v>
      </c>
      <c r="BI174" s="319">
        <f t="shared" ref="BI174" si="160">BI74</f>
        <v>17434.7</v>
      </c>
      <c r="BK174" s="319">
        <f>BK74</f>
        <v>49846.684000000001</v>
      </c>
      <c r="BL174" s="319">
        <f t="shared" ref="BL174:BW174" si="161">BL74</f>
        <v>44771.517</v>
      </c>
      <c r="BM174" s="319">
        <f t="shared" si="161"/>
        <v>48577.125</v>
      </c>
      <c r="BN174" s="319">
        <f t="shared" si="161"/>
        <v>67597.585999999996</v>
      </c>
      <c r="BO174" s="319">
        <f t="shared" si="161"/>
        <v>87834.013999999996</v>
      </c>
      <c r="BP174" s="319">
        <f t="shared" si="161"/>
        <v>101047.52</v>
      </c>
      <c r="BQ174" s="319">
        <f t="shared" si="161"/>
        <v>113345.20699999999</v>
      </c>
      <c r="BR174" s="319">
        <f t="shared" si="161"/>
        <v>120728.49771999917</v>
      </c>
      <c r="BS174" s="319">
        <f t="shared" si="161"/>
        <v>150301.82024999982</v>
      </c>
      <c r="BT174" s="319">
        <f t="shared" si="161"/>
        <v>145101.52556999982</v>
      </c>
      <c r="BU174" s="319">
        <f t="shared" si="161"/>
        <v>152968.72197387955</v>
      </c>
      <c r="BV174" s="319">
        <f t="shared" si="161"/>
        <v>150036.20125506361</v>
      </c>
      <c r="BW174" s="319">
        <f t="shared" si="161"/>
        <v>136667.96377404567</v>
      </c>
      <c r="BX174" s="319">
        <f t="shared" ref="BX174" si="162">BX74</f>
        <v>150136.94209342581</v>
      </c>
      <c r="BZ174" s="319">
        <f>BZ74</f>
        <v>11757.099999999999</v>
      </c>
      <c r="CA174" s="319">
        <f t="shared" ref="CA174:CL174" si="163">CA74</f>
        <v>17601.5</v>
      </c>
      <c r="CB174" s="319">
        <f t="shared" si="163"/>
        <v>7797.58</v>
      </c>
      <c r="CC174" s="319">
        <f t="shared" si="163"/>
        <v>5915.73</v>
      </c>
      <c r="CD174" s="319">
        <f t="shared" si="163"/>
        <v>21084.879999999997</v>
      </c>
      <c r="CE174" s="319">
        <f t="shared" si="163"/>
        <v>22828.489999999998</v>
      </c>
      <c r="CF174" s="319">
        <f t="shared" si="163"/>
        <v>20128.580000000002</v>
      </c>
      <c r="CG174" s="319">
        <f t="shared" si="163"/>
        <v>15991.280000000002</v>
      </c>
      <c r="CH174" s="319">
        <f t="shared" si="163"/>
        <v>14517</v>
      </c>
      <c r="CI174" s="319">
        <f t="shared" si="163"/>
        <v>9224</v>
      </c>
      <c r="CJ174" s="319">
        <f t="shared" si="163"/>
        <v>11770</v>
      </c>
      <c r="CK174" s="319">
        <f t="shared" si="163"/>
        <v>17302</v>
      </c>
      <c r="CL174" s="319">
        <f t="shared" si="163"/>
        <v>42987.31294999989</v>
      </c>
      <c r="CM174" s="319">
        <f t="shared" ref="CM174" si="164">CM74</f>
        <v>36083.15</v>
      </c>
      <c r="CO174" s="319">
        <f>CO74</f>
        <v>1587.96</v>
      </c>
      <c r="CP174" s="319">
        <f t="shared" ref="CP174:DA174" si="165">CP74</f>
        <v>1009.481</v>
      </c>
      <c r="CQ174" s="319">
        <f t="shared" si="165"/>
        <v>2022.6079999999999</v>
      </c>
      <c r="CR174" s="319">
        <f t="shared" si="165"/>
        <v>331.64</v>
      </c>
      <c r="CS174" s="319">
        <f t="shared" si="165"/>
        <v>170.91</v>
      </c>
      <c r="CT174" s="319">
        <f t="shared" si="165"/>
        <v>14916.508244482304</v>
      </c>
      <c r="CU174" s="319">
        <f t="shared" si="165"/>
        <v>14931.287050401026</v>
      </c>
      <c r="CV174" s="319">
        <f t="shared" si="165"/>
        <v>14971.804881223559</v>
      </c>
      <c r="CW174" s="319">
        <f t="shared" si="165"/>
        <v>15015.412561015295</v>
      </c>
      <c r="CX174" s="319">
        <f t="shared" si="165"/>
        <v>15085.283957045232</v>
      </c>
      <c r="CY174" s="319">
        <f t="shared" si="165"/>
        <v>15228</v>
      </c>
      <c r="CZ174" s="319">
        <f t="shared" si="165"/>
        <v>5058.79</v>
      </c>
      <c r="DA174" s="319">
        <f t="shared" si="165"/>
        <v>3259.3049999999998</v>
      </c>
      <c r="DB174" s="319">
        <f t="shared" ref="DB174" si="166">DB74</f>
        <v>3258.2474999999999</v>
      </c>
      <c r="DD174" s="319">
        <f>DD74</f>
        <v>42099</v>
      </c>
      <c r="DE174" s="319">
        <f t="shared" ref="DE174:DP174" si="167">DE74</f>
        <v>35768</v>
      </c>
      <c r="DF174" s="319">
        <f t="shared" si="167"/>
        <v>32882</v>
      </c>
      <c r="DG174" s="319">
        <f t="shared" si="167"/>
        <v>50543</v>
      </c>
      <c r="DH174" s="319">
        <f t="shared" si="167"/>
        <v>42515</v>
      </c>
      <c r="DI174" s="319">
        <f t="shared" si="167"/>
        <v>61050</v>
      </c>
      <c r="DJ174" s="319">
        <f t="shared" si="167"/>
        <v>65656</v>
      </c>
      <c r="DK174" s="319">
        <f t="shared" si="167"/>
        <v>74046</v>
      </c>
      <c r="DL174" s="319">
        <f t="shared" si="167"/>
        <v>80078</v>
      </c>
      <c r="DM174" s="319">
        <f t="shared" si="167"/>
        <v>101636</v>
      </c>
      <c r="DN174" s="319">
        <f t="shared" si="167"/>
        <v>118625.83999999841</v>
      </c>
      <c r="DO174" s="319">
        <f t="shared" si="167"/>
        <v>154520</v>
      </c>
      <c r="DP174" s="319">
        <f t="shared" si="167"/>
        <v>102842.18505999989</v>
      </c>
      <c r="DQ174" s="319">
        <f t="shared" ref="DQ174" si="168">DQ74</f>
        <v>178502.46255000014</v>
      </c>
      <c r="DS174" s="319">
        <f>DS74</f>
        <v>225.06</v>
      </c>
      <c r="DT174" s="319">
        <f t="shared" ref="DT174:EE174" si="169">DT74</f>
        <v>5947.04</v>
      </c>
      <c r="DU174" s="319">
        <f t="shared" si="169"/>
        <v>10836.26</v>
      </c>
      <c r="DV174" s="319">
        <f t="shared" si="169"/>
        <v>12286.07</v>
      </c>
      <c r="DW174" s="319">
        <f t="shared" si="169"/>
        <v>19390.46</v>
      </c>
      <c r="DX174" s="319">
        <f t="shared" si="169"/>
        <v>12099.52</v>
      </c>
      <c r="DY174" s="319">
        <f t="shared" si="169"/>
        <v>26044.78</v>
      </c>
      <c r="DZ174" s="319">
        <f t="shared" si="169"/>
        <v>29236.55</v>
      </c>
      <c r="EA174" s="319">
        <f t="shared" si="169"/>
        <v>38492.144139930453</v>
      </c>
      <c r="EB174" s="319">
        <f t="shared" si="169"/>
        <v>38724.035843466285</v>
      </c>
      <c r="EC174" s="319">
        <f t="shared" si="169"/>
        <v>39000</v>
      </c>
      <c r="ED174" s="319">
        <f t="shared" si="169"/>
        <v>39328.520821865335</v>
      </c>
      <c r="EE174" s="319">
        <f t="shared" si="169"/>
        <v>39276.14569808395</v>
      </c>
      <c r="EF174" s="319">
        <f t="shared" ref="EF174" si="170">EF74</f>
        <v>24172.093333333331</v>
      </c>
    </row>
    <row r="175" spans="1:136" s="434" customFormat="1">
      <c r="A175" s="435" t="s">
        <v>84</v>
      </c>
      <c r="C175" s="319">
        <f ca="1">C9-SUM(C173:C174)</f>
        <v>2700488.7073514191</v>
      </c>
      <c r="D175" s="319">
        <f t="shared" ref="D175:O175" ca="1" si="171">D9-SUM(D173:D174)</f>
        <v>2714870.2410083842</v>
      </c>
      <c r="E175" s="319">
        <f t="shared" ca="1" si="171"/>
        <v>2613066.9072685419</v>
      </c>
      <c r="F175" s="319">
        <f t="shared" ca="1" si="171"/>
        <v>2851557.8490547403</v>
      </c>
      <c r="G175" s="319">
        <f t="shared" ca="1" si="171"/>
        <v>3070785.3906584466</v>
      </c>
      <c r="H175" s="319">
        <f t="shared" ca="1" si="171"/>
        <v>3305290.010903731</v>
      </c>
      <c r="I175" s="319">
        <f t="shared" ca="1" si="171"/>
        <v>3689509.0307831941</v>
      </c>
      <c r="J175" s="319">
        <f t="shared" si="171"/>
        <v>3562174.1826878721</v>
      </c>
      <c r="K175" s="319">
        <f t="shared" si="171"/>
        <v>3349558.5271597998</v>
      </c>
      <c r="L175" s="319">
        <f t="shared" si="171"/>
        <v>3185230.2139625871</v>
      </c>
      <c r="M175" s="319">
        <f t="shared" si="171"/>
        <v>3153328.8563830853</v>
      </c>
      <c r="N175" s="319">
        <f t="shared" si="171"/>
        <v>3450971.5801714612</v>
      </c>
      <c r="O175" s="319">
        <f t="shared" si="171"/>
        <v>3656321.2489825077</v>
      </c>
      <c r="P175" s="319">
        <f t="shared" ref="P175" si="172">P9-SUM(P173:P174)</f>
        <v>3467232.3389188452</v>
      </c>
      <c r="R175" s="319">
        <f>R9-SUM(R173:R174)</f>
        <v>9811.4460459308139</v>
      </c>
      <c r="S175" s="319">
        <f t="shared" ref="S175" si="173">S9-SUM(S173:S174)</f>
        <v>9979.4735942747484</v>
      </c>
      <c r="T175" s="319">
        <f t="shared" ref="T175" si="174">T9-SUM(T173:T174)</f>
        <v>10180.265789664179</v>
      </c>
      <c r="U175" s="319">
        <f t="shared" ref="U175" si="175">U9-SUM(U173:U174)</f>
        <v>10376.215776153967</v>
      </c>
      <c r="V175" s="319">
        <f t="shared" ref="V175" si="176">V9-SUM(V173:V174)</f>
        <v>10578.428739424129</v>
      </c>
      <c r="W175" s="319">
        <f t="shared" ref="W175" si="177">W9-SUM(W173:W174)</f>
        <v>10780.40974059132</v>
      </c>
      <c r="X175" s="319">
        <f t="shared" ref="X175" si="178">X9-SUM(X173:X174)</f>
        <v>11017.851948251107</v>
      </c>
      <c r="Y175" s="319">
        <f t="shared" ref="Y175" si="179">Y9-SUM(Y173:Y174)</f>
        <v>11212.874086328986</v>
      </c>
      <c r="Z175" s="319">
        <f t="shared" ref="Z175" si="180">Z9-SUM(Z173:Z174)</f>
        <v>12961.285351908644</v>
      </c>
      <c r="AA175" s="319">
        <f t="shared" ref="AA175" si="181">AA9-SUM(AA173:AA174)</f>
        <v>11331.538694506336</v>
      </c>
      <c r="AB175" s="319">
        <f t="shared" ref="AB175" si="182">AB9-SUM(AB173:AB174)</f>
        <v>12164.481895429228</v>
      </c>
      <c r="AC175" s="319">
        <f t="shared" ref="AC175" si="183">AC9-SUM(AC173:AC174)</f>
        <v>13924.583211954567</v>
      </c>
      <c r="AD175" s="319">
        <f t="shared" ref="AD175:AE175" si="184">AD9-SUM(AD173:AD174)</f>
        <v>12246.808000000005</v>
      </c>
      <c r="AE175" s="319">
        <f t="shared" si="184"/>
        <v>13195.437299999998</v>
      </c>
      <c r="AG175" s="319">
        <f ca="1">AG9-SUM(AG173:AG174)</f>
        <v>458713.64748025476</v>
      </c>
      <c r="AH175" s="319">
        <f t="shared" ref="AH175" ca="1" si="185">AH9-SUM(AH173:AH174)</f>
        <v>444045.7059664363</v>
      </c>
      <c r="AI175" s="319">
        <f t="shared" ref="AI175" ca="1" si="186">AI9-SUM(AI173:AI174)</f>
        <v>489767.26915767242</v>
      </c>
      <c r="AJ175" s="319">
        <f t="shared" ref="AJ175" ca="1" si="187">AJ9-SUM(AJ173:AJ174)</f>
        <v>581092.83720239578</v>
      </c>
      <c r="AK175" s="319">
        <f t="shared" ref="AK175" ca="1" si="188">AK9-SUM(AK173:AK174)</f>
        <v>449912.6541858532</v>
      </c>
      <c r="AL175" s="319">
        <f t="shared" ref="AL175" ca="1" si="189">AL9-SUM(AL173:AL174)</f>
        <v>584517.9488791863</v>
      </c>
      <c r="AM175" s="319">
        <f t="shared" ref="AM175" ca="1" si="190">AM9-SUM(AM173:AM174)</f>
        <v>670609.49516913446</v>
      </c>
      <c r="AN175" s="319">
        <f t="shared" ref="AN175" si="191">AN9-SUM(AN173:AN174)</f>
        <v>711508.05978033948</v>
      </c>
      <c r="AO175" s="319">
        <f t="shared" ref="AO175" si="192">AO9-SUM(AO173:AO174)</f>
        <v>569921.68121658429</v>
      </c>
      <c r="AP175" s="319">
        <f t="shared" ref="AP175" si="193">AP9-SUM(AP173:AP174)</f>
        <v>668225.02108899085</v>
      </c>
      <c r="AQ175" s="319">
        <f t="shared" ref="AQ175" si="194">AQ9-SUM(AQ173:AQ174)</f>
        <v>677668.99666524865</v>
      </c>
      <c r="AR175" s="319">
        <f t="shared" ref="AR175" si="195">AR9-SUM(AR173:AR174)</f>
        <v>741335.17610750301</v>
      </c>
      <c r="AS175" s="319">
        <f t="shared" ref="AS175:AT175" si="196">AS9-SUM(AS173:AS174)</f>
        <v>706174.57807475748</v>
      </c>
      <c r="AT175" s="319">
        <f t="shared" si="196"/>
        <v>604926.6326882327</v>
      </c>
      <c r="AV175" s="319">
        <f>AV9-SUM(AV173:AV174)</f>
        <v>22721.404541115182</v>
      </c>
      <c r="AW175" s="319">
        <f t="shared" ref="AW175" si="197">AW9-SUM(AW173:AW174)</f>
        <v>23323.169843420983</v>
      </c>
      <c r="AX175" s="319">
        <f t="shared" ref="AX175" si="198">AX9-SUM(AX173:AX174)</f>
        <v>23959.281742870404</v>
      </c>
      <c r="AY175" s="319">
        <f t="shared" ref="AY175" si="199">AY9-SUM(AY173:AY174)</f>
        <v>24525.300743446831</v>
      </c>
      <c r="AZ175" s="319">
        <f t="shared" ref="AZ175" si="200">AZ9-SUM(AZ173:AZ174)</f>
        <v>24796.19741558878</v>
      </c>
      <c r="BA175" s="319">
        <f t="shared" ref="BA175" si="201">BA9-SUM(BA173:BA174)</f>
        <v>25060.849251886451</v>
      </c>
      <c r="BB175" s="319">
        <f t="shared" ref="BB175" si="202">BB9-SUM(BB173:BB174)</f>
        <v>25779.866730647991</v>
      </c>
      <c r="BC175" s="319">
        <f t="shared" ref="BC175" si="203">BC9-SUM(BC173:BC174)</f>
        <v>26171.030327584282</v>
      </c>
      <c r="BD175" s="319">
        <f t="shared" ref="BD175" si="204">BD9-SUM(BD173:BD174)</f>
        <v>18557.074632439093</v>
      </c>
      <c r="BE175" s="319">
        <f t="shared" ref="BE175" si="205">BE9-SUM(BE173:BE174)</f>
        <v>11953.722055261414</v>
      </c>
      <c r="BF175" s="319">
        <f t="shared" ref="BF175" si="206">BF9-SUM(BF173:BF174)</f>
        <v>15571.931891544031</v>
      </c>
      <c r="BG175" s="319">
        <f t="shared" ref="BG175" si="207">BG9-SUM(BG173:BG174)</f>
        <v>14323.947787165143</v>
      </c>
      <c r="BH175" s="319">
        <f t="shared" ref="BH175:BI175" si="208">BH9-SUM(BH173:BH174)</f>
        <v>70536.76433000002</v>
      </c>
      <c r="BI175" s="319">
        <f t="shared" si="208"/>
        <v>34891.778717512396</v>
      </c>
      <c r="BK175" s="319">
        <f>BK9-SUM(BK173:BK174)</f>
        <v>737504.63804626872</v>
      </c>
      <c r="BL175" s="319">
        <f t="shared" ref="BL175" si="209">BL9-SUM(BL173:BL174)</f>
        <v>766504.39390065381</v>
      </c>
      <c r="BM175" s="319">
        <f t="shared" ref="BM175" si="210">BM9-SUM(BM173:BM174)</f>
        <v>624902.62721203966</v>
      </c>
      <c r="BN175" s="319">
        <f t="shared" ref="BN175" si="211">BN9-SUM(BN173:BN174)</f>
        <v>728652.675536733</v>
      </c>
      <c r="BO175" s="319">
        <f t="shared" ref="BO175" si="212">BO9-SUM(BO173:BO174)</f>
        <v>874615.79710280523</v>
      </c>
      <c r="BP175" s="319">
        <f t="shared" ref="BP175" si="213">BP9-SUM(BP173:BP174)</f>
        <v>843114.24004474934</v>
      </c>
      <c r="BQ175" s="319">
        <f t="shared" ref="BQ175" si="214">BQ9-SUM(BQ173:BQ174)</f>
        <v>1152029.5313428738</v>
      </c>
      <c r="BR175" s="319">
        <f t="shared" ref="BR175" si="215">BR9-SUM(BR173:BR174)</f>
        <v>1222661.7224194312</v>
      </c>
      <c r="BS175" s="319">
        <f t="shared" ref="BS175" si="216">BS9-SUM(BS173:BS174)</f>
        <v>1158184.4919768728</v>
      </c>
      <c r="BT175" s="319">
        <f t="shared" ref="BT175" si="217">BT9-SUM(BT173:BT174)</f>
        <v>768227.07175195357</v>
      </c>
      <c r="BU175" s="319">
        <f t="shared" ref="BU175" si="218">BU9-SUM(BU173:BU174)</f>
        <v>839808.56492020586</v>
      </c>
      <c r="BV175" s="319">
        <f t="shared" ref="BV175" si="219">BV9-SUM(BV173:BV174)</f>
        <v>919630.92468529008</v>
      </c>
      <c r="BW175" s="319">
        <f t="shared" ref="BW175:BX175" si="220">BW9-SUM(BW173:BW174)</f>
        <v>971795.72527083056</v>
      </c>
      <c r="BX175" s="319">
        <f t="shared" si="220"/>
        <v>957976.5724385184</v>
      </c>
      <c r="BZ175" s="319">
        <f>BZ9-SUM(BZ173:BZ174)</f>
        <v>144116.01325831562</v>
      </c>
      <c r="CA175" s="319">
        <f t="shared" ref="CA175" si="221">CA9-SUM(CA173:CA174)</f>
        <v>144281.50295965915</v>
      </c>
      <c r="CB175" s="319">
        <f t="shared" ref="CB175" si="222">CB9-SUM(CB173:CB174)</f>
        <v>141179.32450899092</v>
      </c>
      <c r="CC175" s="319">
        <f t="shared" ref="CC175" si="223">CC9-SUM(CC173:CC174)</f>
        <v>169993.80649283994</v>
      </c>
      <c r="CD175" s="319">
        <f t="shared" ref="CD175" si="224">CD9-SUM(CD173:CD174)</f>
        <v>247979.37263389686</v>
      </c>
      <c r="CE175" s="319">
        <f t="shared" ref="CE175" si="225">CE9-SUM(CE173:CE174)</f>
        <v>415837.75653145899</v>
      </c>
      <c r="CF175" s="319">
        <f t="shared" ref="CF175" si="226">CF9-SUM(CF173:CF174)</f>
        <v>268406.92328476656</v>
      </c>
      <c r="CG175" s="319">
        <f t="shared" ref="CG175" si="227">CG9-SUM(CG173:CG174)</f>
        <v>152673.69999902989</v>
      </c>
      <c r="CH175" s="319">
        <f t="shared" ref="CH175" si="228">CH9-SUM(CH173:CH174)</f>
        <v>254175.50945243594</v>
      </c>
      <c r="CI175" s="319">
        <f t="shared" ref="CI175" si="229">CI9-SUM(CI173:CI174)</f>
        <v>190215.26819694336</v>
      </c>
      <c r="CJ175" s="319">
        <f t="shared" ref="CJ175" si="230">CJ9-SUM(CJ173:CJ174)</f>
        <v>221250.91857726761</v>
      </c>
      <c r="CK175" s="319">
        <f t="shared" ref="CK175" si="231">CK9-SUM(CK173:CK174)</f>
        <v>203689.65111304476</v>
      </c>
      <c r="CL175" s="319">
        <f t="shared" ref="CL175" si="232">CL9-SUM(CL173:CL174)</f>
        <v>183215.34856431332</v>
      </c>
      <c r="CM175" s="319">
        <f t="shared" ref="CM175" si="233">CM9-SUM(CM173:CM174)</f>
        <v>153455.87200650005</v>
      </c>
      <c r="CO175" s="319">
        <f>CO9-SUM(CO173:CO174)</f>
        <v>261363.2630921847</v>
      </c>
      <c r="CP175" s="319">
        <f t="shared" ref="CP175" si="234">CP9-SUM(CP173:CP174)</f>
        <v>263649.08607212582</v>
      </c>
      <c r="CQ175" s="319">
        <f t="shared" ref="CQ175" si="235">CQ9-SUM(CQ173:CQ174)</f>
        <v>266761.17439919786</v>
      </c>
      <c r="CR175" s="319">
        <f t="shared" ref="CR175" si="236">CR9-SUM(CR173:CR174)</f>
        <v>269075.24224920495</v>
      </c>
      <c r="CS175" s="319">
        <f t="shared" ref="CS175" si="237">CS9-SUM(CS173:CS174)</f>
        <v>271084.16927765217</v>
      </c>
      <c r="CT175" s="319">
        <f t="shared" ref="CT175" si="238">CT9-SUM(CT173:CT174)</f>
        <v>271930.63417149527</v>
      </c>
      <c r="CU175" s="319">
        <f t="shared" ref="CU175" si="239">CU9-SUM(CU173:CU174)</f>
        <v>271704.52227789973</v>
      </c>
      <c r="CV175" s="319">
        <f t="shared" ref="CV175" si="240">CV9-SUM(CV173:CV174)</f>
        <v>272267.66053588444</v>
      </c>
      <c r="CW175" s="319">
        <f t="shared" ref="CW175" si="241">CW9-SUM(CW173:CW174)</f>
        <v>294767.09494952613</v>
      </c>
      <c r="CX175" s="319">
        <f t="shared" ref="CX175" si="242">CX9-SUM(CX173:CX174)</f>
        <v>377072.48204125901</v>
      </c>
      <c r="CY175" s="319">
        <f t="shared" ref="CY175" si="243">CY9-SUM(CY173:CY174)</f>
        <v>150478.13613041883</v>
      </c>
      <c r="CZ175" s="319">
        <f t="shared" ref="CZ175" si="244">CZ9-SUM(CZ173:CZ174)</f>
        <v>236968.8709642071</v>
      </c>
      <c r="DA175" s="319">
        <f t="shared" ref="DA175:DB175" si="245">DA9-SUM(DA173:DA174)</f>
        <v>402970.59225771966</v>
      </c>
      <c r="DB175" s="319">
        <f t="shared" si="245"/>
        <v>315388.49052487564</v>
      </c>
      <c r="DD175" s="319">
        <f>DD9-SUM(DD173:DD174)</f>
        <v>640982.43381950771</v>
      </c>
      <c r="DE175" s="319">
        <f t="shared" ref="DE175" si="246">DE9-SUM(DE173:DE174)</f>
        <v>640320.58337548003</v>
      </c>
      <c r="DF175" s="319">
        <f t="shared" ref="DF175" si="247">DF9-SUM(DF173:DF174)</f>
        <v>632562.19913437497</v>
      </c>
      <c r="DG175" s="319">
        <f t="shared" ref="DG175" si="248">DG9-SUM(DG173:DG174)</f>
        <v>627617.15241431305</v>
      </c>
      <c r="DH175" s="319">
        <f t="shared" ref="DH175" si="249">DH9-SUM(DH173:DH174)</f>
        <v>619326.99243257765</v>
      </c>
      <c r="DI175" s="319">
        <f t="shared" ref="DI175" si="250">DI9-SUM(DI173:DI174)</f>
        <v>604769.49559402373</v>
      </c>
      <c r="DJ175" s="319">
        <f t="shared" ref="DJ175" si="251">DJ9-SUM(DJ173:DJ174)</f>
        <v>699795.63444731175</v>
      </c>
      <c r="DK175" s="319">
        <f t="shared" ref="DK175" si="252">DK9-SUM(DK173:DK174)</f>
        <v>552308.34599492257</v>
      </c>
      <c r="DL175" s="319">
        <f t="shared" ref="DL175" si="253">DL9-SUM(DL173:DL174)</f>
        <v>512550.67632078752</v>
      </c>
      <c r="DM175" s="319">
        <f t="shared" ref="DM175" si="254">DM9-SUM(DM173:DM174)</f>
        <v>555908.78315182077</v>
      </c>
      <c r="DN175" s="319">
        <f t="shared" ref="DN175" si="255">DN9-SUM(DN173:DN174)</f>
        <v>664506.01941525412</v>
      </c>
      <c r="DO175" s="319">
        <f t="shared" ref="DO175" si="256">DO9-SUM(DO173:DO174)</f>
        <v>584090.94982319046</v>
      </c>
      <c r="DP175" s="319">
        <f t="shared" ref="DP175:DQ175" si="257">DP9-SUM(DP173:DP174)</f>
        <v>592415.96016292495</v>
      </c>
      <c r="DQ175" s="319">
        <f t="shared" si="257"/>
        <v>675505.76507205586</v>
      </c>
      <c r="DS175" s="319">
        <f>DS9-SUM(DS173:DS174)</f>
        <v>425275.86106784269</v>
      </c>
      <c r="DT175" s="319">
        <f t="shared" ref="DT175" si="258">DT9-SUM(DT173:DT174)</f>
        <v>422766.32529633061</v>
      </c>
      <c r="DU175" s="319">
        <f t="shared" ref="DU175" si="259">DU9-SUM(DU173:DU174)</f>
        <v>423754.76532373141</v>
      </c>
      <c r="DV175" s="319">
        <f t="shared" ref="DV175" si="260">DV9-SUM(DV173:DV174)</f>
        <v>440224.61863965413</v>
      </c>
      <c r="DW175" s="319">
        <f t="shared" ref="DW175" si="261">DW9-SUM(DW173:DW174)</f>
        <v>572491.77887064987</v>
      </c>
      <c r="DX175" s="319">
        <f t="shared" ref="DX175" si="262">DX9-SUM(DX173:DX174)</f>
        <v>549278.67669033876</v>
      </c>
      <c r="DY175" s="319">
        <f t="shared" ref="DY175" si="263">DY9-SUM(DY173:DY174)</f>
        <v>590165.20558230847</v>
      </c>
      <c r="DZ175" s="319">
        <f t="shared" ref="DZ175" si="264">DZ9-SUM(DZ173:DZ174)</f>
        <v>613370.78954435291</v>
      </c>
      <c r="EA175" s="319">
        <f t="shared" ref="EA175" si="265">EA9-SUM(EA173:EA174)</f>
        <v>528440.71325924643</v>
      </c>
      <c r="EB175" s="319">
        <f t="shared" ref="EB175" si="266">EB9-SUM(EB173:EB174)</f>
        <v>602296.32698185043</v>
      </c>
      <c r="EC175" s="319">
        <f t="shared" ref="EC175" si="267">EC9-SUM(EC173:EC174)</f>
        <v>571879.80688771536</v>
      </c>
      <c r="ED175" s="319">
        <f t="shared" ref="ED175" si="268">ED9-SUM(ED173:ED174)</f>
        <v>737007.47647910472</v>
      </c>
      <c r="EE175" s="319">
        <f t="shared" ref="EE175:EF175" si="269">EE9-SUM(EE173:EE174)</f>
        <v>716965.47232196049</v>
      </c>
      <c r="EF175" s="319">
        <f t="shared" si="269"/>
        <v>711891.79017115012</v>
      </c>
    </row>
    <row r="176" spans="1:136" s="434" customFormat="1" ht="6.75" customHeight="1"/>
    <row r="271" spans="3:5">
      <c r="C271" s="3" t="s">
        <v>784</v>
      </c>
      <c r="E271" s="730">
        <f ca="1">(P9/C9)^(1/13)-1</f>
        <v>3.3543299609727795E-2</v>
      </c>
    </row>
    <row r="272" spans="3:5">
      <c r="C272" s="3" t="s">
        <v>785</v>
      </c>
      <c r="E272" s="730">
        <f>(P9/K9)^(1/5)-1</f>
        <v>6.3119286237872663E-2</v>
      </c>
    </row>
    <row r="288" spans="11:11">
      <c r="K288" s="3" t="s">
        <v>786</v>
      </c>
    </row>
  </sheetData>
  <mergeCells count="1">
    <mergeCell ref="AQ2:AV5"/>
  </mergeCells>
  <phoneticPr fontId="63" type="noConversion"/>
  <conditionalFormatting sqref="K95:K167">
    <cfRule type="cellIs" dxfId="0" priority="1" operator="equal">
      <formula>1</formula>
    </cfRule>
  </conditionalFormatting>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7061D2-AC3A-4343-84E6-3AD445BBE34E}">
  <sheetPr>
    <tabColor rgb="FFFF0000"/>
  </sheetPr>
  <dimension ref="A1:ARE102"/>
  <sheetViews>
    <sheetView showGridLines="0" zoomScale="90" zoomScaleNormal="90" zoomScaleSheetLayoutView="75" workbookViewId="0">
      <pane xSplit="1" ySplit="2" topLeftCell="B3" activePane="bottomRight" state="frozen"/>
      <selection pane="topRight" activeCell="B1" sqref="B1"/>
      <selection pane="bottomLeft" activeCell="A3" sqref="A3"/>
      <selection pane="bottomRight" activeCell="B3" sqref="B3"/>
    </sheetView>
  </sheetViews>
  <sheetFormatPr defaultColWidth="0" defaultRowHeight="12.75"/>
  <cols>
    <col min="1" max="1" width="10.140625" style="708" customWidth="1"/>
    <col min="2" max="4" width="10.85546875" style="110" customWidth="1"/>
    <col min="5" max="11" width="10.85546875" style="111" customWidth="1"/>
    <col min="12" max="14" width="10.85546875" style="110" customWidth="1"/>
    <col min="15" max="15" width="2.140625" style="110" customWidth="1"/>
    <col min="16" max="27" width="12.85546875" style="110" customWidth="1"/>
    <col min="28" max="28" width="18.85546875" style="110" customWidth="1"/>
    <col min="29" max="29" width="2.140625" style="110" customWidth="1"/>
    <col min="30" max="30" width="10.42578125" style="110" customWidth="1"/>
    <col min="31" max="37" width="10.85546875" style="110" customWidth="1"/>
    <col min="38" max="38" width="12" style="110" customWidth="1"/>
    <col min="39" max="42" width="10.85546875" style="110" customWidth="1"/>
    <col min="43" max="43" width="2.140625" style="110" customWidth="1"/>
    <col min="44" max="56" width="10.85546875" style="110" customWidth="1"/>
    <col min="57" max="57" width="2.140625" style="110" customWidth="1"/>
    <col min="58" max="66" width="13" style="110" customWidth="1"/>
    <col min="67" max="67" width="12.28515625" style="110" customWidth="1"/>
    <col min="68" max="70" width="7.7109375" style="110" customWidth="1"/>
    <col min="71" max="71" width="2.140625" style="110" customWidth="1"/>
    <col min="72" max="79" width="7.7109375" style="110" customWidth="1"/>
    <col min="80" max="84" width="11" style="110" customWidth="1"/>
    <col min="85" max="85" width="2.140625" style="110" customWidth="1"/>
    <col min="86" max="97" width="10.85546875" style="110" customWidth="1"/>
    <col min="98" max="98" width="16.140625" style="110" customWidth="1"/>
    <col min="99" max="99" width="2.140625" style="110" customWidth="1"/>
    <col min="100" max="107" width="7.7109375" style="110" customWidth="1"/>
    <col min="108" max="108" width="9.28515625" style="110" customWidth="1"/>
    <col min="109" max="109" width="10.28515625" style="110" customWidth="1"/>
    <col min="110" max="110" width="11.42578125" style="110" customWidth="1"/>
    <col min="111" max="112" width="9.28515625" style="110" customWidth="1"/>
    <col min="113" max="113" width="7.7109375" style="110" customWidth="1"/>
    <col min="114" max="1149" width="0" style="110" hidden="1" customWidth="1"/>
    <col min="1150" max="16384" width="7.7109375" style="110" hidden="1"/>
  </cols>
  <sheetData>
    <row r="1" spans="1:38" s="106" customFormat="1" ht="21">
      <c r="A1" s="707" t="s">
        <v>439</v>
      </c>
      <c r="D1" s="107"/>
      <c r="E1" s="108"/>
      <c r="F1" s="108"/>
      <c r="G1" s="108"/>
      <c r="H1" s="108"/>
      <c r="I1" s="108"/>
      <c r="J1" s="108"/>
      <c r="K1" s="108"/>
      <c r="L1" s="109"/>
    </row>
    <row r="2" spans="1:38" ht="6" customHeight="1">
      <c r="L2" s="111"/>
      <c r="M2" s="111"/>
    </row>
    <row r="3" spans="1:38" s="116" customFormat="1" ht="20.100000000000001" customHeight="1" thickBot="1">
      <c r="A3" s="709" t="s">
        <v>452</v>
      </c>
      <c r="P3" s="115" t="s">
        <v>571</v>
      </c>
    </row>
    <row r="4" spans="1:38" s="117" customFormat="1" ht="51" customHeight="1" thickBot="1">
      <c r="A4" s="335" t="s">
        <v>141</v>
      </c>
      <c r="B4" s="336" t="s">
        <v>476</v>
      </c>
      <c r="C4" s="336" t="s">
        <v>440</v>
      </c>
      <c r="D4" s="336" t="s">
        <v>441</v>
      </c>
      <c r="E4" s="336" t="s">
        <v>442</v>
      </c>
      <c r="F4" s="336" t="s">
        <v>443</v>
      </c>
      <c r="G4" s="336" t="s">
        <v>444</v>
      </c>
      <c r="H4" s="336" t="s">
        <v>445</v>
      </c>
      <c r="I4" s="336" t="s">
        <v>446</v>
      </c>
      <c r="J4" s="336" t="s">
        <v>447</v>
      </c>
      <c r="K4" s="336" t="s">
        <v>448</v>
      </c>
      <c r="L4" s="336" t="s">
        <v>449</v>
      </c>
    </row>
    <row r="5" spans="1:38" ht="15.95" customHeight="1" thickBot="1">
      <c r="A5" s="337" t="s">
        <v>409</v>
      </c>
      <c r="B5" s="338" t="s">
        <v>170</v>
      </c>
      <c r="C5" s="338" t="s">
        <v>170</v>
      </c>
      <c r="D5" s="339" t="s">
        <v>451</v>
      </c>
      <c r="E5" s="340" t="s">
        <v>451</v>
      </c>
      <c r="F5" s="338" t="s">
        <v>170</v>
      </c>
      <c r="G5" s="338" t="s">
        <v>170</v>
      </c>
      <c r="H5" s="338" t="s">
        <v>170</v>
      </c>
      <c r="I5" s="338" t="s">
        <v>170</v>
      </c>
      <c r="J5" s="338" t="s">
        <v>170</v>
      </c>
      <c r="K5" s="340" t="s">
        <v>451</v>
      </c>
      <c r="L5" s="340" t="s">
        <v>451</v>
      </c>
      <c r="O5" s="421">
        <v>1</v>
      </c>
      <c r="P5" s="420" t="s">
        <v>572</v>
      </c>
      <c r="Q5" s="420"/>
      <c r="R5" s="420"/>
      <c r="S5" s="420"/>
      <c r="T5" s="420"/>
      <c r="U5" s="420"/>
      <c r="V5" s="420"/>
      <c r="W5" s="420"/>
      <c r="X5" s="420"/>
      <c r="Y5" s="420"/>
      <c r="Z5" s="420"/>
      <c r="AA5" s="420"/>
      <c r="AB5" s="421"/>
      <c r="AD5" s="117" t="s">
        <v>587</v>
      </c>
      <c r="AE5" s="117"/>
      <c r="AF5" s="117"/>
      <c r="AG5" s="117"/>
      <c r="AH5" s="117"/>
      <c r="AI5" s="117"/>
      <c r="AJ5" s="117"/>
      <c r="AK5" s="117"/>
      <c r="AL5" s="117"/>
    </row>
    <row r="6" spans="1:38" ht="36.75" thickBot="1">
      <c r="A6" s="341" t="s">
        <v>408</v>
      </c>
      <c r="B6" s="342" t="s">
        <v>451</v>
      </c>
      <c r="C6" s="338" t="s">
        <v>170</v>
      </c>
      <c r="D6" s="343" t="s">
        <v>170</v>
      </c>
      <c r="E6" s="344" t="s">
        <v>170</v>
      </c>
      <c r="F6" s="344" t="s">
        <v>170</v>
      </c>
      <c r="G6" s="344" t="s">
        <v>170</v>
      </c>
      <c r="H6" s="344" t="s">
        <v>170</v>
      </c>
      <c r="I6" s="344" t="s">
        <v>170</v>
      </c>
      <c r="J6" s="342" t="s">
        <v>451</v>
      </c>
      <c r="K6" s="344" t="s">
        <v>170</v>
      </c>
      <c r="L6" s="342" t="s">
        <v>451</v>
      </c>
      <c r="O6" s="421">
        <v>2</v>
      </c>
      <c r="P6" s="420" t="s">
        <v>573</v>
      </c>
      <c r="Q6" s="420"/>
      <c r="R6" s="420"/>
      <c r="S6" s="420"/>
      <c r="T6" s="420"/>
      <c r="U6" s="420"/>
      <c r="V6" s="420"/>
      <c r="W6" s="420"/>
      <c r="X6" s="420"/>
      <c r="Y6" s="420"/>
      <c r="Z6" s="420"/>
      <c r="AA6" s="420"/>
      <c r="AB6" s="421"/>
      <c r="AD6" s="426" t="s">
        <v>588</v>
      </c>
      <c r="AE6" s="325" t="s">
        <v>72</v>
      </c>
      <c r="AF6" s="325" t="s">
        <v>107</v>
      </c>
      <c r="AG6" s="325" t="s">
        <v>73</v>
      </c>
      <c r="AH6" s="325" t="s">
        <v>120</v>
      </c>
      <c r="AI6" s="325" t="s">
        <v>108</v>
      </c>
      <c r="AJ6" s="325" t="s">
        <v>122</v>
      </c>
      <c r="AK6" s="325" t="s">
        <v>109</v>
      </c>
      <c r="AL6" s="326" t="s">
        <v>110</v>
      </c>
    </row>
    <row r="7" spans="1:38" ht="15.75" thickBot="1">
      <c r="A7" s="341" t="s">
        <v>89</v>
      </c>
      <c r="B7" s="342" t="s">
        <v>451</v>
      </c>
      <c r="C7" s="338" t="s">
        <v>170</v>
      </c>
      <c r="D7" s="343" t="s">
        <v>170</v>
      </c>
      <c r="E7" s="344" t="s">
        <v>170</v>
      </c>
      <c r="F7" s="344" t="s">
        <v>170</v>
      </c>
      <c r="G7" s="342" t="s">
        <v>451</v>
      </c>
      <c r="H7" s="344" t="s">
        <v>170</v>
      </c>
      <c r="I7" s="344" t="s">
        <v>170</v>
      </c>
      <c r="J7" s="342" t="s">
        <v>451</v>
      </c>
      <c r="K7" s="344" t="s">
        <v>170</v>
      </c>
      <c r="L7" s="342" t="s">
        <v>451</v>
      </c>
      <c r="O7" s="421">
        <v>3</v>
      </c>
      <c r="P7" s="420" t="s">
        <v>583</v>
      </c>
      <c r="Q7" s="420"/>
      <c r="R7" s="420"/>
      <c r="S7" s="420"/>
      <c r="T7" s="420"/>
      <c r="U7" s="420"/>
      <c r="V7" s="420"/>
      <c r="W7" s="420"/>
      <c r="X7" s="420"/>
      <c r="Y7" s="420"/>
      <c r="Z7" s="420"/>
      <c r="AA7" s="420"/>
      <c r="AB7" s="421"/>
      <c r="AD7" s="426"/>
      <c r="AE7" s="423"/>
      <c r="AF7" s="423" t="s">
        <v>589</v>
      </c>
      <c r="AG7" s="423"/>
      <c r="AH7" s="423"/>
      <c r="AI7" s="423" t="s">
        <v>599</v>
      </c>
      <c r="AJ7" s="423"/>
      <c r="AK7" s="423" t="s">
        <v>590</v>
      </c>
      <c r="AL7" s="424" t="s">
        <v>604</v>
      </c>
    </row>
    <row r="8" spans="1:38" ht="15.75" thickBot="1">
      <c r="A8" s="341" t="s">
        <v>85</v>
      </c>
      <c r="B8" s="342" t="s">
        <v>451</v>
      </c>
      <c r="C8" s="338" t="s">
        <v>170</v>
      </c>
      <c r="D8" s="345" t="s">
        <v>451</v>
      </c>
      <c r="E8" s="342" t="s">
        <v>451</v>
      </c>
      <c r="F8" s="342" t="s">
        <v>451</v>
      </c>
      <c r="G8" s="342" t="s">
        <v>451</v>
      </c>
      <c r="H8" s="342" t="s">
        <v>451</v>
      </c>
      <c r="I8" s="342" t="s">
        <v>451</v>
      </c>
      <c r="J8" s="342" t="s">
        <v>451</v>
      </c>
      <c r="K8" s="344" t="s">
        <v>170</v>
      </c>
      <c r="L8" s="342" t="s">
        <v>451</v>
      </c>
      <c r="O8" s="421">
        <v>4</v>
      </c>
      <c r="P8" s="420" t="s">
        <v>584</v>
      </c>
      <c r="Q8" s="420"/>
      <c r="R8" s="420"/>
      <c r="S8" s="420"/>
      <c r="T8" s="420"/>
      <c r="U8" s="420"/>
      <c r="V8" s="420"/>
      <c r="W8" s="420"/>
      <c r="X8" s="420"/>
      <c r="Y8" s="420"/>
      <c r="Z8" s="420"/>
      <c r="AA8" s="420"/>
      <c r="AB8" s="421"/>
      <c r="AD8" s="425"/>
      <c r="AE8" s="423"/>
      <c r="AF8" s="423" t="s">
        <v>590</v>
      </c>
      <c r="AG8" s="423"/>
      <c r="AH8" s="423"/>
      <c r="AI8" s="423" t="s">
        <v>597</v>
      </c>
      <c r="AJ8" s="423"/>
      <c r="AK8" s="423" t="s">
        <v>601</v>
      </c>
      <c r="AL8" s="424"/>
    </row>
    <row r="9" spans="1:38" ht="15.75" thickBot="1">
      <c r="A9" s="341" t="s">
        <v>76</v>
      </c>
      <c r="B9" s="342" t="s">
        <v>451</v>
      </c>
      <c r="C9" s="338" t="s">
        <v>170</v>
      </c>
      <c r="D9" s="343" t="s">
        <v>170</v>
      </c>
      <c r="E9" s="344" t="s">
        <v>170</v>
      </c>
      <c r="F9" s="344" t="s">
        <v>170</v>
      </c>
      <c r="G9" s="342" t="s">
        <v>451</v>
      </c>
      <c r="H9" s="344" t="s">
        <v>170</v>
      </c>
      <c r="I9" s="344" t="s">
        <v>170</v>
      </c>
      <c r="J9" s="342" t="s">
        <v>451</v>
      </c>
      <c r="K9" s="342" t="s">
        <v>451</v>
      </c>
      <c r="L9" s="344" t="s">
        <v>170</v>
      </c>
      <c r="O9" s="421">
        <v>5</v>
      </c>
      <c r="P9" s="420" t="s">
        <v>585</v>
      </c>
      <c r="Q9" s="420"/>
      <c r="R9" s="420"/>
      <c r="S9" s="420"/>
      <c r="T9" s="420"/>
      <c r="U9" s="420"/>
      <c r="V9" s="420"/>
      <c r="W9" s="420"/>
      <c r="X9" s="420"/>
      <c r="Y9" s="420"/>
      <c r="Z9" s="420"/>
      <c r="AA9" s="420"/>
      <c r="AB9" s="421"/>
      <c r="AD9" s="425"/>
      <c r="AE9" s="423"/>
      <c r="AF9" s="423" t="s">
        <v>591</v>
      </c>
      <c r="AG9" s="423"/>
      <c r="AH9" s="423"/>
      <c r="AI9" s="423" t="s">
        <v>592</v>
      </c>
      <c r="AJ9" s="423"/>
      <c r="AK9" s="423" t="s">
        <v>602</v>
      </c>
      <c r="AL9" s="424"/>
    </row>
    <row r="10" spans="1:38" ht="15.75" thickBot="1">
      <c r="A10" s="341" t="s">
        <v>77</v>
      </c>
      <c r="B10" s="342" t="s">
        <v>451</v>
      </c>
      <c r="C10" s="338" t="s">
        <v>170</v>
      </c>
      <c r="D10" s="343" t="s">
        <v>170</v>
      </c>
      <c r="E10" s="344" t="s">
        <v>170</v>
      </c>
      <c r="F10" s="342" t="s">
        <v>451</v>
      </c>
      <c r="G10" s="342" t="s">
        <v>451</v>
      </c>
      <c r="H10" s="344" t="s">
        <v>170</v>
      </c>
      <c r="I10" s="344" t="s">
        <v>170</v>
      </c>
      <c r="J10" s="342" t="s">
        <v>451</v>
      </c>
      <c r="K10" s="342" t="s">
        <v>451</v>
      </c>
      <c r="L10" s="344" t="s">
        <v>170</v>
      </c>
      <c r="O10" s="421">
        <v>6</v>
      </c>
      <c r="P10" s="420" t="s">
        <v>574</v>
      </c>
      <c r="Q10" s="420"/>
      <c r="R10" s="420"/>
      <c r="S10" s="420"/>
      <c r="T10" s="420"/>
      <c r="U10" s="420"/>
      <c r="V10" s="420"/>
      <c r="W10" s="420"/>
      <c r="X10" s="420"/>
      <c r="Y10" s="420"/>
      <c r="Z10" s="420"/>
      <c r="AA10" s="420"/>
      <c r="AB10" s="421"/>
      <c r="AD10" s="425"/>
      <c r="AE10" s="423"/>
      <c r="AF10" s="423" t="s">
        <v>592</v>
      </c>
      <c r="AG10" s="423"/>
      <c r="AH10" s="423"/>
      <c r="AI10" s="423" t="s">
        <v>598</v>
      </c>
      <c r="AJ10" s="423"/>
      <c r="AK10" s="423" t="s">
        <v>593</v>
      </c>
      <c r="AL10" s="424"/>
    </row>
    <row r="11" spans="1:38" ht="15.75" thickBot="1">
      <c r="A11" s="341" t="s">
        <v>78</v>
      </c>
      <c r="B11" s="342" t="s">
        <v>451</v>
      </c>
      <c r="C11" s="338" t="s">
        <v>170</v>
      </c>
      <c r="D11" s="343" t="s">
        <v>170</v>
      </c>
      <c r="E11" s="344" t="s">
        <v>170</v>
      </c>
      <c r="F11" s="342" t="s">
        <v>451</v>
      </c>
      <c r="G11" s="342" t="s">
        <v>451</v>
      </c>
      <c r="H11" s="344" t="s">
        <v>170</v>
      </c>
      <c r="I11" s="344" t="s">
        <v>170</v>
      </c>
      <c r="J11" s="342" t="s">
        <v>451</v>
      </c>
      <c r="K11" s="342" t="s">
        <v>451</v>
      </c>
      <c r="L11" s="344" t="s">
        <v>170</v>
      </c>
      <c r="O11" s="421"/>
      <c r="P11" s="422" t="s">
        <v>578</v>
      </c>
      <c r="Q11" s="420" t="s">
        <v>471</v>
      </c>
      <c r="R11" s="420"/>
      <c r="S11" s="420"/>
      <c r="T11" s="420"/>
      <c r="U11" s="420"/>
      <c r="V11" s="420"/>
      <c r="W11" s="420"/>
      <c r="X11" s="420"/>
      <c r="Y11" s="420"/>
      <c r="Z11" s="420"/>
      <c r="AA11" s="420"/>
      <c r="AB11" s="421"/>
      <c r="AD11" s="425"/>
      <c r="AE11" s="423"/>
      <c r="AF11" s="423" t="s">
        <v>593</v>
      </c>
      <c r="AG11" s="423"/>
      <c r="AH11" s="423"/>
      <c r="AI11" s="423" t="s">
        <v>600</v>
      </c>
      <c r="AJ11" s="423"/>
      <c r="AK11" s="423" t="s">
        <v>603</v>
      </c>
      <c r="AL11" s="424"/>
    </row>
    <row r="12" spans="1:38" ht="15.75" thickBot="1">
      <c r="A12" s="341" t="s">
        <v>79</v>
      </c>
      <c r="B12" s="342" t="s">
        <v>451</v>
      </c>
      <c r="C12" s="338" t="s">
        <v>170</v>
      </c>
      <c r="D12" s="345" t="s">
        <v>451</v>
      </c>
      <c r="E12" s="342" t="s">
        <v>451</v>
      </c>
      <c r="F12" s="342" t="s">
        <v>451</v>
      </c>
      <c r="G12" s="342" t="s">
        <v>451</v>
      </c>
      <c r="H12" s="344" t="s">
        <v>170</v>
      </c>
      <c r="I12" s="344" t="s">
        <v>170</v>
      </c>
      <c r="J12" s="342" t="s">
        <v>451</v>
      </c>
      <c r="K12" s="342" t="s">
        <v>451</v>
      </c>
      <c r="L12" s="344" t="s">
        <v>170</v>
      </c>
      <c r="O12" s="421"/>
      <c r="P12" s="422" t="s">
        <v>579</v>
      </c>
      <c r="Q12" s="420" t="s">
        <v>575</v>
      </c>
      <c r="R12" s="420"/>
      <c r="S12" s="420"/>
      <c r="T12" s="420"/>
      <c r="U12" s="420"/>
      <c r="V12" s="420"/>
      <c r="W12" s="420"/>
      <c r="X12" s="420"/>
      <c r="Y12" s="420"/>
      <c r="Z12" s="420"/>
      <c r="AA12" s="420"/>
      <c r="AB12" s="421"/>
      <c r="AD12" s="425"/>
      <c r="AE12" s="423"/>
      <c r="AF12" s="423" t="s">
        <v>594</v>
      </c>
      <c r="AG12" s="423"/>
      <c r="AH12" s="423"/>
      <c r="AI12" s="423"/>
      <c r="AJ12" s="423"/>
      <c r="AK12" s="423" t="s">
        <v>598</v>
      </c>
      <c r="AL12" s="424"/>
    </row>
    <row r="13" spans="1:38" ht="15.75" thickBot="1">
      <c r="A13" s="341" t="s">
        <v>80</v>
      </c>
      <c r="B13" s="342" t="s">
        <v>451</v>
      </c>
      <c r="C13" s="338" t="s">
        <v>170</v>
      </c>
      <c r="D13" s="345" t="s">
        <v>451</v>
      </c>
      <c r="E13" s="342" t="s">
        <v>451</v>
      </c>
      <c r="F13" s="342" t="s">
        <v>451</v>
      </c>
      <c r="G13" s="342" t="s">
        <v>451</v>
      </c>
      <c r="H13" s="344" t="s">
        <v>170</v>
      </c>
      <c r="I13" s="344" t="s">
        <v>170</v>
      </c>
      <c r="J13" s="342" t="s">
        <v>451</v>
      </c>
      <c r="K13" s="342" t="s">
        <v>451</v>
      </c>
      <c r="L13" s="344" t="s">
        <v>170</v>
      </c>
      <c r="O13" s="421"/>
      <c r="P13" s="422" t="s">
        <v>580</v>
      </c>
      <c r="Q13" s="420" t="s">
        <v>586</v>
      </c>
      <c r="R13" s="420"/>
      <c r="S13" s="420"/>
      <c r="T13" s="420"/>
      <c r="U13" s="420"/>
      <c r="V13" s="420"/>
      <c r="W13" s="420"/>
      <c r="X13" s="420"/>
      <c r="Y13" s="420"/>
      <c r="Z13" s="420"/>
      <c r="AA13" s="420"/>
      <c r="AB13" s="421"/>
      <c r="AD13" s="425"/>
      <c r="AE13" s="423"/>
      <c r="AF13" s="423" t="s">
        <v>595</v>
      </c>
      <c r="AG13" s="423"/>
      <c r="AH13" s="423"/>
      <c r="AI13" s="423"/>
      <c r="AJ13" s="423"/>
      <c r="AK13" s="423"/>
      <c r="AL13" s="424"/>
    </row>
    <row r="14" spans="1:38" ht="15.75" thickBot="1">
      <c r="A14" s="341" t="s">
        <v>81</v>
      </c>
      <c r="B14" s="346" t="s">
        <v>451</v>
      </c>
      <c r="C14" s="346" t="s">
        <v>451</v>
      </c>
      <c r="D14" s="342" t="s">
        <v>451</v>
      </c>
      <c r="E14" s="342" t="s">
        <v>451</v>
      </c>
      <c r="F14" s="342" t="s">
        <v>451</v>
      </c>
      <c r="G14" s="342" t="s">
        <v>451</v>
      </c>
      <c r="H14" s="342" t="s">
        <v>451</v>
      </c>
      <c r="I14" s="342" t="s">
        <v>451</v>
      </c>
      <c r="J14" s="342" t="s">
        <v>451</v>
      </c>
      <c r="K14" s="342" t="s">
        <v>451</v>
      </c>
      <c r="L14" s="344" t="s">
        <v>170</v>
      </c>
      <c r="O14" s="421"/>
      <c r="P14" s="422" t="s">
        <v>581</v>
      </c>
      <c r="Q14" s="420" t="s">
        <v>576</v>
      </c>
      <c r="R14" s="420"/>
      <c r="S14" s="420"/>
      <c r="T14" s="420"/>
      <c r="U14" s="420"/>
      <c r="V14" s="420"/>
      <c r="W14" s="420"/>
      <c r="X14" s="420"/>
      <c r="Y14" s="420"/>
      <c r="Z14" s="420"/>
      <c r="AA14" s="420"/>
      <c r="AB14" s="421"/>
      <c r="AD14" s="425"/>
      <c r="AE14" s="423"/>
      <c r="AF14" s="423" t="s">
        <v>596</v>
      </c>
      <c r="AG14" s="423"/>
      <c r="AH14" s="423"/>
      <c r="AI14" s="423"/>
      <c r="AJ14" s="423"/>
      <c r="AK14" s="423"/>
      <c r="AL14" s="424"/>
    </row>
    <row r="15" spans="1:38" ht="15.75" thickBot="1">
      <c r="A15" s="341" t="s">
        <v>82</v>
      </c>
      <c r="B15" s="346" t="s">
        <v>451</v>
      </c>
      <c r="C15" s="346" t="s">
        <v>451</v>
      </c>
      <c r="D15" s="342" t="s">
        <v>451</v>
      </c>
      <c r="E15" s="342" t="s">
        <v>451</v>
      </c>
      <c r="F15" s="342" t="s">
        <v>451</v>
      </c>
      <c r="G15" s="342" t="s">
        <v>451</v>
      </c>
      <c r="H15" s="342" t="s">
        <v>451</v>
      </c>
      <c r="I15" s="342" t="s">
        <v>451</v>
      </c>
      <c r="J15" s="342" t="s">
        <v>451</v>
      </c>
      <c r="K15" s="342" t="s">
        <v>451</v>
      </c>
      <c r="L15" s="344" t="s">
        <v>170</v>
      </c>
      <c r="O15" s="421"/>
      <c r="P15" s="422" t="s">
        <v>582</v>
      </c>
      <c r="Q15" s="420" t="s">
        <v>577</v>
      </c>
      <c r="R15" s="420"/>
      <c r="S15" s="420"/>
      <c r="T15" s="420"/>
      <c r="U15" s="420"/>
      <c r="V15" s="420"/>
      <c r="W15" s="420"/>
      <c r="X15" s="420"/>
      <c r="Y15" s="420"/>
      <c r="Z15" s="420"/>
      <c r="AA15" s="420"/>
      <c r="AB15" s="421"/>
      <c r="AD15" s="425"/>
      <c r="AE15" s="327"/>
      <c r="AF15" s="328"/>
      <c r="AG15" s="328"/>
      <c r="AH15" s="328"/>
      <c r="AI15" s="328"/>
      <c r="AJ15" s="328"/>
      <c r="AK15" s="328"/>
      <c r="AL15" s="329"/>
    </row>
    <row r="16" spans="1:38" ht="13.5" thickBot="1">
      <c r="A16" s="341" t="s">
        <v>83</v>
      </c>
      <c r="B16" s="346" t="s">
        <v>451</v>
      </c>
      <c r="C16" s="346" t="s">
        <v>451</v>
      </c>
      <c r="D16" s="342" t="s">
        <v>451</v>
      </c>
      <c r="E16" s="342" t="s">
        <v>451</v>
      </c>
      <c r="F16" s="342" t="s">
        <v>451</v>
      </c>
      <c r="G16" s="342" t="s">
        <v>451</v>
      </c>
      <c r="H16" s="342" t="s">
        <v>451</v>
      </c>
      <c r="I16" s="342" t="s">
        <v>451</v>
      </c>
      <c r="J16" s="342" t="s">
        <v>451</v>
      </c>
      <c r="K16" s="342" t="s">
        <v>451</v>
      </c>
      <c r="L16" s="344" t="s">
        <v>170</v>
      </c>
    </row>
    <row r="17" spans="1:112" ht="13.5" thickBot="1">
      <c r="A17" s="341" t="s">
        <v>86</v>
      </c>
      <c r="B17" s="346" t="s">
        <v>451</v>
      </c>
      <c r="C17" s="346" t="s">
        <v>451</v>
      </c>
      <c r="D17" s="342" t="s">
        <v>451</v>
      </c>
      <c r="E17" s="342" t="s">
        <v>451</v>
      </c>
      <c r="F17" s="342" t="s">
        <v>451</v>
      </c>
      <c r="G17" s="342" t="s">
        <v>451</v>
      </c>
      <c r="H17" s="342" t="s">
        <v>451</v>
      </c>
      <c r="I17" s="342" t="s">
        <v>451</v>
      </c>
      <c r="J17" s="342" t="s">
        <v>451</v>
      </c>
      <c r="K17" s="342" t="s">
        <v>451</v>
      </c>
      <c r="L17" s="344" t="s">
        <v>170</v>
      </c>
    </row>
    <row r="18" spans="1:112">
      <c r="A18" s="708" t="s">
        <v>450</v>
      </c>
      <c r="E18" s="110"/>
      <c r="F18" s="110"/>
      <c r="G18" s="110"/>
      <c r="H18" s="110"/>
      <c r="I18" s="110"/>
      <c r="J18" s="110"/>
      <c r="K18" s="110"/>
    </row>
    <row r="19" spans="1:112" ht="13.5" thickBot="1">
      <c r="A19" s="708" t="s">
        <v>423</v>
      </c>
      <c r="E19" s="110"/>
      <c r="F19" s="110"/>
      <c r="G19" s="110"/>
      <c r="H19" s="110"/>
      <c r="I19" s="110"/>
      <c r="J19" s="110"/>
      <c r="K19" s="110"/>
    </row>
    <row r="20" spans="1:112" ht="13.5" thickBot="1">
      <c r="A20" s="334" t="s">
        <v>170</v>
      </c>
      <c r="B20" s="110" t="s">
        <v>454</v>
      </c>
      <c r="E20" s="110"/>
      <c r="F20" s="110"/>
      <c r="G20" s="110"/>
      <c r="H20" s="110"/>
      <c r="I20" s="110"/>
      <c r="J20" s="110"/>
      <c r="K20" s="110"/>
    </row>
    <row r="21" spans="1:112" ht="13.5" thickBot="1">
      <c r="A21" s="333" t="s">
        <v>451</v>
      </c>
      <c r="B21" s="110" t="s">
        <v>453</v>
      </c>
      <c r="E21" s="110"/>
      <c r="F21" s="110"/>
      <c r="G21" s="110"/>
      <c r="H21" s="110"/>
      <c r="I21" s="110"/>
      <c r="J21" s="110"/>
      <c r="K21" s="110"/>
    </row>
    <row r="23" spans="1:112" s="116" customFormat="1" ht="17.100000000000001" customHeight="1">
      <c r="A23" s="709" t="s">
        <v>456</v>
      </c>
    </row>
    <row r="25" spans="1:112" ht="18.75">
      <c r="A25" s="710" t="s">
        <v>74</v>
      </c>
      <c r="B25" s="380" t="s">
        <v>72</v>
      </c>
      <c r="C25" s="380"/>
      <c r="D25" s="380"/>
      <c r="E25" s="380"/>
      <c r="F25" s="380"/>
      <c r="G25" s="380"/>
      <c r="H25" s="380"/>
      <c r="I25" s="380"/>
      <c r="J25" s="380"/>
      <c r="K25" s="380"/>
      <c r="L25" s="380"/>
      <c r="M25" s="380"/>
      <c r="N25" s="380"/>
      <c r="O25" s="18"/>
      <c r="P25" s="16" t="s">
        <v>107</v>
      </c>
      <c r="Q25" s="33"/>
      <c r="R25" s="33"/>
      <c r="S25" s="33"/>
      <c r="T25" s="33"/>
      <c r="U25" s="33"/>
      <c r="V25" s="33"/>
      <c r="W25" s="33"/>
      <c r="X25" s="33"/>
      <c r="Y25" s="33"/>
      <c r="Z25" s="33"/>
      <c r="AA25" s="33"/>
      <c r="AB25" s="33"/>
      <c r="AD25" s="382" t="s">
        <v>73</v>
      </c>
      <c r="AE25" s="382"/>
      <c r="AF25" s="382"/>
      <c r="AG25" s="382"/>
      <c r="AH25" s="382"/>
      <c r="AI25" s="382"/>
      <c r="AJ25" s="382"/>
      <c r="AK25" s="382"/>
      <c r="AL25" s="382"/>
      <c r="AM25" s="382"/>
      <c r="AN25" s="382"/>
      <c r="AO25" s="382"/>
      <c r="AP25" s="382"/>
      <c r="AQ25" s="383"/>
      <c r="AR25" s="384" t="s">
        <v>120</v>
      </c>
      <c r="AS25" s="384"/>
      <c r="AT25" s="384"/>
      <c r="AU25" s="384"/>
      <c r="AV25" s="384"/>
      <c r="AW25" s="384"/>
      <c r="AX25" s="384"/>
      <c r="AY25" s="384"/>
      <c r="AZ25" s="384"/>
      <c r="BA25" s="384"/>
      <c r="BB25" s="384"/>
      <c r="BC25" s="384"/>
      <c r="BD25" s="384"/>
      <c r="BE25" s="383"/>
      <c r="BF25" s="385" t="s">
        <v>108</v>
      </c>
      <c r="BG25" s="385"/>
      <c r="BH25" s="385"/>
      <c r="BI25" s="385"/>
      <c r="BJ25" s="385"/>
      <c r="BK25" s="385"/>
      <c r="BL25" s="385"/>
      <c r="BM25" s="385"/>
      <c r="BN25" s="385"/>
      <c r="BO25" s="385"/>
      <c r="BP25" s="385"/>
      <c r="BQ25" s="385"/>
      <c r="BR25" s="385"/>
      <c r="BS25" s="383"/>
      <c r="BT25" s="386" t="s">
        <v>122</v>
      </c>
      <c r="BU25" s="386"/>
      <c r="BV25" s="386"/>
      <c r="BW25" s="386"/>
      <c r="BX25" s="386"/>
      <c r="BY25" s="386"/>
      <c r="BZ25" s="386"/>
      <c r="CA25" s="386"/>
      <c r="CB25" s="386"/>
      <c r="CC25" s="386"/>
      <c r="CD25" s="386"/>
      <c r="CE25" s="386"/>
      <c r="CF25" s="386"/>
      <c r="CG25" s="383"/>
      <c r="CH25" s="14" t="s">
        <v>109</v>
      </c>
      <c r="CI25" s="14"/>
      <c r="CJ25" s="14"/>
      <c r="CK25" s="14"/>
      <c r="CL25" s="14"/>
      <c r="CM25" s="14"/>
      <c r="CN25" s="14"/>
      <c r="CO25" s="14"/>
      <c r="CP25" s="14"/>
      <c r="CQ25" s="14"/>
      <c r="CR25" s="14"/>
      <c r="CS25" s="14"/>
      <c r="CT25" s="14"/>
      <c r="CU25" s="383"/>
      <c r="CV25" s="15" t="s">
        <v>110</v>
      </c>
      <c r="CW25" s="15"/>
      <c r="CX25" s="15"/>
      <c r="CY25" s="15"/>
      <c r="CZ25" s="15"/>
      <c r="DA25" s="15"/>
      <c r="DB25" s="15"/>
      <c r="DC25" s="15"/>
      <c r="DD25" s="15"/>
      <c r="DE25" s="15"/>
      <c r="DF25" s="15"/>
      <c r="DG25" s="15"/>
      <c r="DH25" s="15"/>
    </row>
    <row r="26" spans="1:112" ht="15.75">
      <c r="A26" s="710" t="s">
        <v>455</v>
      </c>
      <c r="B26" s="712" t="s">
        <v>86</v>
      </c>
      <c r="C26" s="712" t="s">
        <v>83</v>
      </c>
      <c r="D26" s="713" t="s">
        <v>82</v>
      </c>
      <c r="E26" s="713" t="s">
        <v>81</v>
      </c>
      <c r="F26" s="712" t="s">
        <v>80</v>
      </c>
      <c r="G26" s="712" t="s">
        <v>79</v>
      </c>
      <c r="H26" s="712" t="s">
        <v>78</v>
      </c>
      <c r="I26" s="712" t="s">
        <v>77</v>
      </c>
      <c r="J26" s="712" t="s">
        <v>76</v>
      </c>
      <c r="K26" s="713" t="s">
        <v>85</v>
      </c>
      <c r="L26" s="713" t="s">
        <v>89</v>
      </c>
      <c r="M26" s="713" t="s">
        <v>408</v>
      </c>
      <c r="N26" s="713" t="s">
        <v>409</v>
      </c>
      <c r="O26" s="712"/>
      <c r="P26" s="712" t="s">
        <v>86</v>
      </c>
      <c r="Q26" s="712" t="s">
        <v>83</v>
      </c>
      <c r="R26" s="5" t="s">
        <v>82</v>
      </c>
      <c r="S26" s="5" t="s">
        <v>81</v>
      </c>
      <c r="T26" s="712" t="s">
        <v>80</v>
      </c>
      <c r="U26" s="712" t="s">
        <v>79</v>
      </c>
      <c r="V26" s="712" t="s">
        <v>78</v>
      </c>
      <c r="W26" s="712" t="s">
        <v>77</v>
      </c>
      <c r="X26" s="712" t="s">
        <v>76</v>
      </c>
      <c r="Y26" s="5" t="s">
        <v>85</v>
      </c>
      <c r="Z26" s="5" t="s">
        <v>89</v>
      </c>
      <c r="AA26" s="5" t="s">
        <v>408</v>
      </c>
      <c r="AB26" s="5" t="s">
        <v>409</v>
      </c>
      <c r="AC26" s="714"/>
      <c r="AD26" s="712" t="s">
        <v>86</v>
      </c>
      <c r="AE26" s="712" t="s">
        <v>83</v>
      </c>
      <c r="AF26" s="713" t="s">
        <v>82</v>
      </c>
      <c r="AG26" s="713" t="s">
        <v>81</v>
      </c>
      <c r="AH26" s="712" t="s">
        <v>80</v>
      </c>
      <c r="AI26" s="712" t="s">
        <v>79</v>
      </c>
      <c r="AJ26" s="712" t="s">
        <v>78</v>
      </c>
      <c r="AK26" s="712" t="s">
        <v>77</v>
      </c>
      <c r="AL26" s="712" t="s">
        <v>76</v>
      </c>
      <c r="AM26" s="713" t="s">
        <v>85</v>
      </c>
      <c r="AN26" s="713" t="s">
        <v>89</v>
      </c>
      <c r="AO26" s="713" t="s">
        <v>408</v>
      </c>
      <c r="AP26" s="713" t="s">
        <v>409</v>
      </c>
      <c r="AQ26" s="6"/>
      <c r="AR26" s="712" t="s">
        <v>86</v>
      </c>
      <c r="AS26" s="712" t="s">
        <v>83</v>
      </c>
      <c r="AT26" s="713" t="s">
        <v>82</v>
      </c>
      <c r="AU26" s="713" t="s">
        <v>81</v>
      </c>
      <c r="AV26" s="712" t="s">
        <v>80</v>
      </c>
      <c r="AW26" s="712" t="s">
        <v>79</v>
      </c>
      <c r="AX26" s="712" t="s">
        <v>78</v>
      </c>
      <c r="AY26" s="712" t="s">
        <v>77</v>
      </c>
      <c r="AZ26" s="712" t="s">
        <v>76</v>
      </c>
      <c r="BA26" s="713" t="s">
        <v>85</v>
      </c>
      <c r="BB26" s="713" t="s">
        <v>89</v>
      </c>
      <c r="BC26" s="713" t="s">
        <v>408</v>
      </c>
      <c r="BD26" s="713" t="s">
        <v>409</v>
      </c>
      <c r="BE26" s="6"/>
      <c r="BF26" s="712" t="s">
        <v>86</v>
      </c>
      <c r="BG26" s="712" t="s">
        <v>83</v>
      </c>
      <c r="BH26" s="713" t="s">
        <v>82</v>
      </c>
      <c r="BI26" s="713" t="s">
        <v>81</v>
      </c>
      <c r="BJ26" s="712" t="s">
        <v>80</v>
      </c>
      <c r="BK26" s="712" t="s">
        <v>79</v>
      </c>
      <c r="BL26" s="712" t="s">
        <v>78</v>
      </c>
      <c r="BM26" s="712" t="s">
        <v>77</v>
      </c>
      <c r="BN26" s="712" t="s">
        <v>76</v>
      </c>
      <c r="BO26" s="713" t="s">
        <v>85</v>
      </c>
      <c r="BP26" s="713" t="s">
        <v>89</v>
      </c>
      <c r="BQ26" s="713" t="s">
        <v>408</v>
      </c>
      <c r="BR26" s="713" t="s">
        <v>409</v>
      </c>
      <c r="BS26" s="6"/>
      <c r="BT26" s="712" t="s">
        <v>86</v>
      </c>
      <c r="BU26" s="712" t="s">
        <v>83</v>
      </c>
      <c r="BV26" s="713" t="s">
        <v>82</v>
      </c>
      <c r="BW26" s="713" t="s">
        <v>81</v>
      </c>
      <c r="BX26" s="712" t="s">
        <v>80</v>
      </c>
      <c r="BY26" s="712" t="s">
        <v>79</v>
      </c>
      <c r="BZ26" s="712" t="s">
        <v>78</v>
      </c>
      <c r="CA26" s="712" t="s">
        <v>77</v>
      </c>
      <c r="CB26" s="712" t="s">
        <v>76</v>
      </c>
      <c r="CC26" s="713" t="s">
        <v>85</v>
      </c>
      <c r="CD26" s="713" t="s">
        <v>89</v>
      </c>
      <c r="CE26" s="713" t="s">
        <v>408</v>
      </c>
      <c r="CF26" s="713" t="s">
        <v>409</v>
      </c>
      <c r="CG26" s="6"/>
      <c r="CH26" s="712" t="s">
        <v>86</v>
      </c>
      <c r="CI26" s="712" t="s">
        <v>83</v>
      </c>
      <c r="CJ26" s="713" t="s">
        <v>82</v>
      </c>
      <c r="CK26" s="713" t="s">
        <v>81</v>
      </c>
      <c r="CL26" s="712" t="s">
        <v>80</v>
      </c>
      <c r="CM26" s="712" t="s">
        <v>79</v>
      </c>
      <c r="CN26" s="712" t="s">
        <v>78</v>
      </c>
      <c r="CO26" s="712" t="s">
        <v>77</v>
      </c>
      <c r="CP26" s="712" t="s">
        <v>76</v>
      </c>
      <c r="CQ26" s="713" t="s">
        <v>85</v>
      </c>
      <c r="CR26" s="713" t="s">
        <v>89</v>
      </c>
      <c r="CS26" s="713" t="s">
        <v>408</v>
      </c>
      <c r="CT26" s="713" t="s">
        <v>409</v>
      </c>
      <c r="CU26" s="6"/>
      <c r="CV26" s="712" t="s">
        <v>86</v>
      </c>
      <c r="CW26" s="712" t="s">
        <v>83</v>
      </c>
      <c r="CX26" s="713" t="s">
        <v>82</v>
      </c>
      <c r="CY26" s="713" t="s">
        <v>81</v>
      </c>
      <c r="CZ26" s="712" t="s">
        <v>80</v>
      </c>
      <c r="DA26" s="712" t="s">
        <v>79</v>
      </c>
      <c r="DB26" s="712" t="s">
        <v>78</v>
      </c>
      <c r="DC26" s="712" t="s">
        <v>77</v>
      </c>
      <c r="DD26" s="712" t="s">
        <v>76</v>
      </c>
      <c r="DE26" s="713" t="s">
        <v>85</v>
      </c>
      <c r="DF26" s="713" t="s">
        <v>89</v>
      </c>
      <c r="DG26" s="713" t="s">
        <v>408</v>
      </c>
      <c r="DH26" s="713" t="s">
        <v>409</v>
      </c>
    </row>
    <row r="27" spans="1:112" ht="51.95" customHeight="1">
      <c r="A27" s="708" t="s">
        <v>0</v>
      </c>
      <c r="B27" s="354" t="s">
        <v>461</v>
      </c>
      <c r="C27" s="354" t="s">
        <v>461</v>
      </c>
      <c r="D27" s="354" t="s">
        <v>461</v>
      </c>
      <c r="E27" s="354" t="s">
        <v>461</v>
      </c>
      <c r="F27" s="354" t="s">
        <v>461</v>
      </c>
      <c r="G27" s="354" t="s">
        <v>461</v>
      </c>
      <c r="H27" s="354" t="s">
        <v>461</v>
      </c>
      <c r="I27" s="354" t="s">
        <v>461</v>
      </c>
      <c r="J27" s="358" t="s">
        <v>98</v>
      </c>
      <c r="K27" s="358" t="s">
        <v>98</v>
      </c>
      <c r="L27" s="358" t="s">
        <v>98</v>
      </c>
      <c r="M27" s="358" t="s">
        <v>98</v>
      </c>
      <c r="N27" s="358" t="s">
        <v>98</v>
      </c>
      <c r="P27" s="349" t="s">
        <v>457</v>
      </c>
      <c r="Q27" s="349" t="s">
        <v>457</v>
      </c>
      <c r="R27" s="349" t="s">
        <v>457</v>
      </c>
      <c r="S27" s="349" t="s">
        <v>457</v>
      </c>
      <c r="T27" s="350" t="s">
        <v>478</v>
      </c>
      <c r="U27" s="350" t="s">
        <v>477</v>
      </c>
      <c r="V27" s="350" t="s">
        <v>479</v>
      </c>
      <c r="W27" s="350" t="s">
        <v>480</v>
      </c>
      <c r="X27" s="365" t="s">
        <v>481</v>
      </c>
      <c r="Y27" s="350" t="s">
        <v>482</v>
      </c>
      <c r="Z27" s="370" t="s">
        <v>459</v>
      </c>
      <c r="AA27" s="370" t="s">
        <v>459</v>
      </c>
      <c r="AB27" s="370" t="s">
        <v>459</v>
      </c>
      <c r="AD27" s="354" t="s">
        <v>461</v>
      </c>
      <c r="AE27" s="354" t="s">
        <v>461</v>
      </c>
      <c r="AF27" s="354" t="s">
        <v>461</v>
      </c>
      <c r="AG27" s="354" t="s">
        <v>461</v>
      </c>
      <c r="AH27" s="354" t="s">
        <v>461</v>
      </c>
      <c r="AI27" s="354" t="s">
        <v>461</v>
      </c>
      <c r="AJ27" s="354" t="s">
        <v>461</v>
      </c>
      <c r="AK27" s="354" t="s">
        <v>461</v>
      </c>
      <c r="AL27" s="358" t="s">
        <v>98</v>
      </c>
      <c r="AM27" s="358" t="s">
        <v>98</v>
      </c>
      <c r="AN27" s="358" t="s">
        <v>98</v>
      </c>
      <c r="AO27" s="358" t="s">
        <v>98</v>
      </c>
      <c r="AP27" s="358" t="s">
        <v>98</v>
      </c>
      <c r="AQ27" s="387"/>
      <c r="AR27" s="388" t="s">
        <v>458</v>
      </c>
      <c r="AS27" s="388" t="s">
        <v>458</v>
      </c>
      <c r="AT27" s="388" t="s">
        <v>458</v>
      </c>
      <c r="AU27" s="388" t="s">
        <v>458</v>
      </c>
      <c r="AV27" s="388" t="s">
        <v>458</v>
      </c>
      <c r="AW27" s="388" t="s">
        <v>458</v>
      </c>
      <c r="AX27" s="388" t="s">
        <v>458</v>
      </c>
      <c r="AY27" s="388" t="s">
        <v>458</v>
      </c>
      <c r="AZ27" s="374" t="s">
        <v>459</v>
      </c>
      <c r="BA27" s="374" t="s">
        <v>458</v>
      </c>
      <c r="BB27" s="411" t="s">
        <v>471</v>
      </c>
      <c r="BC27" s="374" t="s">
        <v>459</v>
      </c>
      <c r="BD27" s="374" t="s">
        <v>459</v>
      </c>
      <c r="BE27" s="387"/>
      <c r="BF27" s="388" t="s">
        <v>458</v>
      </c>
      <c r="BG27" s="388" t="s">
        <v>458</v>
      </c>
      <c r="BH27" s="388" t="s">
        <v>458</v>
      </c>
      <c r="BI27" s="388" t="s">
        <v>458</v>
      </c>
      <c r="BJ27" s="388" t="s">
        <v>458</v>
      </c>
      <c r="BK27" s="388" t="s">
        <v>458</v>
      </c>
      <c r="BL27" s="388" t="s">
        <v>458</v>
      </c>
      <c r="BM27" s="388" t="s">
        <v>458</v>
      </c>
      <c r="BN27" s="388" t="s">
        <v>458</v>
      </c>
      <c r="BO27" s="388" t="s">
        <v>458</v>
      </c>
      <c r="BP27" s="374" t="s">
        <v>459</v>
      </c>
      <c r="BQ27" s="374" t="s">
        <v>459</v>
      </c>
      <c r="BR27" s="374" t="s">
        <v>459</v>
      </c>
      <c r="BS27" s="28"/>
      <c r="BT27" s="354" t="s">
        <v>461</v>
      </c>
      <c r="BU27" s="354" t="s">
        <v>461</v>
      </c>
      <c r="BV27" s="354" t="s">
        <v>461</v>
      </c>
      <c r="BW27" s="354" t="s">
        <v>461</v>
      </c>
      <c r="BX27" s="354" t="s">
        <v>461</v>
      </c>
      <c r="BY27" s="354" t="s">
        <v>461</v>
      </c>
      <c r="BZ27" s="354" t="s">
        <v>461</v>
      </c>
      <c r="CA27" s="354" t="s">
        <v>461</v>
      </c>
      <c r="CB27" s="358" t="s">
        <v>98</v>
      </c>
      <c r="CC27" s="358" t="s">
        <v>98</v>
      </c>
      <c r="CD27" s="358" t="s">
        <v>98</v>
      </c>
      <c r="CE27" s="358" t="s">
        <v>98</v>
      </c>
      <c r="CF27" s="358" t="s">
        <v>98</v>
      </c>
      <c r="CG27" s="387"/>
      <c r="CH27" s="388" t="s">
        <v>458</v>
      </c>
      <c r="CI27" s="388" t="s">
        <v>458</v>
      </c>
      <c r="CJ27" s="388" t="s">
        <v>458</v>
      </c>
      <c r="CK27" s="388" t="s">
        <v>458</v>
      </c>
      <c r="CL27" s="388" t="s">
        <v>458</v>
      </c>
      <c r="CM27" s="388" t="s">
        <v>458</v>
      </c>
      <c r="CN27" s="388" t="s">
        <v>458</v>
      </c>
      <c r="CO27" s="388" t="s">
        <v>458</v>
      </c>
      <c r="CP27" s="374" t="s">
        <v>459</v>
      </c>
      <c r="CQ27" s="374" t="s">
        <v>458</v>
      </c>
      <c r="CR27" s="374" t="s">
        <v>459</v>
      </c>
      <c r="CS27" s="374" t="s">
        <v>459</v>
      </c>
      <c r="CT27" s="374" t="s">
        <v>459</v>
      </c>
      <c r="CU27" s="387"/>
      <c r="CV27" s="388" t="s">
        <v>458</v>
      </c>
      <c r="CW27" s="388" t="s">
        <v>458</v>
      </c>
      <c r="CX27" s="388" t="s">
        <v>458</v>
      </c>
      <c r="CY27" s="388" t="s">
        <v>458</v>
      </c>
      <c r="CZ27" s="388" t="s">
        <v>458</v>
      </c>
      <c r="DA27" s="388" t="s">
        <v>458</v>
      </c>
      <c r="DB27" s="388" t="s">
        <v>458</v>
      </c>
      <c r="DC27" s="388" t="s">
        <v>458</v>
      </c>
      <c r="DD27" s="398" t="s">
        <v>459</v>
      </c>
      <c r="DE27" s="388" t="s">
        <v>458</v>
      </c>
      <c r="DF27" s="398" t="s">
        <v>459</v>
      </c>
      <c r="DG27" s="398" t="s">
        <v>459</v>
      </c>
      <c r="DH27" s="399" t="s">
        <v>459</v>
      </c>
    </row>
    <row r="28" spans="1:112" ht="89.25">
      <c r="A28" s="708" t="s">
        <v>67</v>
      </c>
      <c r="B28" s="354" t="s">
        <v>461</v>
      </c>
      <c r="C28" s="354" t="s">
        <v>461</v>
      </c>
      <c r="D28" s="354" t="s">
        <v>461</v>
      </c>
      <c r="E28" s="354" t="s">
        <v>461</v>
      </c>
      <c r="F28" s="354" t="s">
        <v>461</v>
      </c>
      <c r="G28" s="354" t="s">
        <v>461</v>
      </c>
      <c r="H28" s="354" t="s">
        <v>461</v>
      </c>
      <c r="I28" s="354" t="s">
        <v>461</v>
      </c>
      <c r="J28" s="358" t="s">
        <v>98</v>
      </c>
      <c r="K28" s="358" t="s">
        <v>98</v>
      </c>
      <c r="L28" s="358" t="s">
        <v>98</v>
      </c>
      <c r="M28" s="358" t="s">
        <v>98</v>
      </c>
      <c r="N28" s="358" t="s">
        <v>98</v>
      </c>
      <c r="P28" s="349" t="s">
        <v>457</v>
      </c>
      <c r="Q28" s="349" t="s">
        <v>457</v>
      </c>
      <c r="R28" s="349" t="s">
        <v>457</v>
      </c>
      <c r="S28" s="349" t="s">
        <v>457</v>
      </c>
      <c r="T28" s="369" t="s">
        <v>458</v>
      </c>
      <c r="U28" s="369" t="s">
        <v>458</v>
      </c>
      <c r="V28" s="369" t="s">
        <v>458</v>
      </c>
      <c r="W28" s="369" t="s">
        <v>458</v>
      </c>
      <c r="X28" s="370" t="s">
        <v>459</v>
      </c>
      <c r="Y28" s="369" t="s">
        <v>458</v>
      </c>
      <c r="Z28" s="370" t="s">
        <v>459</v>
      </c>
      <c r="AA28" s="370" t="s">
        <v>459</v>
      </c>
      <c r="AB28" s="370" t="s">
        <v>459</v>
      </c>
      <c r="AD28" s="354" t="s">
        <v>461</v>
      </c>
      <c r="AE28" s="354" t="s">
        <v>461</v>
      </c>
      <c r="AF28" s="354" t="s">
        <v>461</v>
      </c>
      <c r="AG28" s="354" t="s">
        <v>461</v>
      </c>
      <c r="AH28" s="354" t="s">
        <v>461</v>
      </c>
      <c r="AI28" s="354" t="s">
        <v>461</v>
      </c>
      <c r="AJ28" s="354" t="s">
        <v>461</v>
      </c>
      <c r="AK28" s="354" t="s">
        <v>461</v>
      </c>
      <c r="AL28" s="358" t="s">
        <v>98</v>
      </c>
      <c r="AM28" s="358" t="s">
        <v>98</v>
      </c>
      <c r="AN28" s="358" t="s">
        <v>98</v>
      </c>
      <c r="AO28" s="358" t="s">
        <v>98</v>
      </c>
      <c r="AP28" s="358" t="s">
        <v>98</v>
      </c>
      <c r="AQ28" s="61"/>
      <c r="AR28" s="388" t="s">
        <v>458</v>
      </c>
      <c r="AS28" s="388" t="s">
        <v>458</v>
      </c>
      <c r="AT28" s="388" t="s">
        <v>458</v>
      </c>
      <c r="AU28" s="388" t="s">
        <v>458</v>
      </c>
      <c r="AV28" s="388" t="s">
        <v>458</v>
      </c>
      <c r="AW28" s="388" t="s">
        <v>458</v>
      </c>
      <c r="AX28" s="388" t="s">
        <v>458</v>
      </c>
      <c r="AY28" s="388" t="s">
        <v>458</v>
      </c>
      <c r="AZ28" s="374" t="s">
        <v>459</v>
      </c>
      <c r="BA28" s="374" t="s">
        <v>458</v>
      </c>
      <c r="BB28" s="411" t="s">
        <v>471</v>
      </c>
      <c r="BC28" s="374" t="s">
        <v>459</v>
      </c>
      <c r="BD28" s="374" t="s">
        <v>459</v>
      </c>
      <c r="BE28" s="61"/>
      <c r="BF28" s="388" t="s">
        <v>458</v>
      </c>
      <c r="BG28" s="388" t="s">
        <v>458</v>
      </c>
      <c r="BH28" s="388" t="s">
        <v>458</v>
      </c>
      <c r="BI28" s="388" t="s">
        <v>458</v>
      </c>
      <c r="BJ28" s="388" t="s">
        <v>458</v>
      </c>
      <c r="BK28" s="388" t="s">
        <v>458</v>
      </c>
      <c r="BL28" s="388" t="s">
        <v>458</v>
      </c>
      <c r="BM28" s="388" t="s">
        <v>458</v>
      </c>
      <c r="BN28" s="388" t="s">
        <v>458</v>
      </c>
      <c r="BO28" s="388" t="s">
        <v>458</v>
      </c>
      <c r="BP28" s="374" t="s">
        <v>459</v>
      </c>
      <c r="BQ28" s="374" t="s">
        <v>459</v>
      </c>
      <c r="BR28" s="374" t="s">
        <v>459</v>
      </c>
      <c r="BS28" s="27"/>
      <c r="BT28" s="354" t="s">
        <v>461</v>
      </c>
      <c r="BU28" s="354" t="s">
        <v>461</v>
      </c>
      <c r="BV28" s="354" t="s">
        <v>461</v>
      </c>
      <c r="BW28" s="354" t="s">
        <v>461</v>
      </c>
      <c r="BX28" s="354" t="s">
        <v>461</v>
      </c>
      <c r="BY28" s="354" t="s">
        <v>461</v>
      </c>
      <c r="BZ28" s="354" t="s">
        <v>461</v>
      </c>
      <c r="CA28" s="354" t="s">
        <v>461</v>
      </c>
      <c r="CB28" s="358" t="s">
        <v>98</v>
      </c>
      <c r="CC28" s="358" t="s">
        <v>98</v>
      </c>
      <c r="CD28" s="358" t="s">
        <v>98</v>
      </c>
      <c r="CE28" s="358" t="s">
        <v>98</v>
      </c>
      <c r="CF28" s="358" t="s">
        <v>98</v>
      </c>
      <c r="CG28" s="61"/>
      <c r="CH28" s="388" t="s">
        <v>458</v>
      </c>
      <c r="CI28" s="388" t="s">
        <v>458</v>
      </c>
      <c r="CJ28" s="388" t="s">
        <v>458</v>
      </c>
      <c r="CK28" s="388" t="s">
        <v>458</v>
      </c>
      <c r="CL28" s="388" t="s">
        <v>458</v>
      </c>
      <c r="CM28" s="388" t="s">
        <v>458</v>
      </c>
      <c r="CN28" s="388" t="s">
        <v>458</v>
      </c>
      <c r="CO28" s="388" t="s">
        <v>458</v>
      </c>
      <c r="CP28" s="374" t="s">
        <v>459</v>
      </c>
      <c r="CQ28" s="374" t="s">
        <v>458</v>
      </c>
      <c r="CR28" s="374" t="s">
        <v>459</v>
      </c>
      <c r="CS28" s="374" t="s">
        <v>459</v>
      </c>
      <c r="CT28" s="374" t="s">
        <v>459</v>
      </c>
      <c r="CU28" s="61"/>
      <c r="CV28" s="388" t="s">
        <v>458</v>
      </c>
      <c r="CW28" s="388" t="s">
        <v>458</v>
      </c>
      <c r="CX28" s="388" t="s">
        <v>458</v>
      </c>
      <c r="CY28" s="388" t="s">
        <v>458</v>
      </c>
      <c r="CZ28" s="388" t="s">
        <v>458</v>
      </c>
      <c r="DA28" s="388" t="s">
        <v>458</v>
      </c>
      <c r="DB28" s="388" t="s">
        <v>458</v>
      </c>
      <c r="DC28" s="388" t="s">
        <v>458</v>
      </c>
      <c r="DD28" s="398" t="s">
        <v>459</v>
      </c>
      <c r="DE28" s="388" t="s">
        <v>458</v>
      </c>
      <c r="DF28" s="398" t="s">
        <v>459</v>
      </c>
      <c r="DG28" s="398" t="s">
        <v>459</v>
      </c>
      <c r="DH28" s="399" t="s">
        <v>459</v>
      </c>
    </row>
    <row r="29" spans="1:112" ht="89.25">
      <c r="A29" s="708" t="s">
        <v>56</v>
      </c>
      <c r="B29" s="354" t="s">
        <v>461</v>
      </c>
      <c r="C29" s="354" t="s">
        <v>461</v>
      </c>
      <c r="D29" s="354" t="s">
        <v>461</v>
      </c>
      <c r="E29" s="354" t="s">
        <v>461</v>
      </c>
      <c r="F29" s="354" t="s">
        <v>461</v>
      </c>
      <c r="G29" s="354" t="s">
        <v>461</v>
      </c>
      <c r="H29" s="354" t="s">
        <v>461</v>
      </c>
      <c r="I29" s="354" t="s">
        <v>461</v>
      </c>
      <c r="J29" s="358" t="s">
        <v>98</v>
      </c>
      <c r="K29" s="358" t="s">
        <v>98</v>
      </c>
      <c r="L29" s="358" t="s">
        <v>98</v>
      </c>
      <c r="M29" s="358" t="s">
        <v>98</v>
      </c>
      <c r="N29" s="358" t="s">
        <v>98</v>
      </c>
      <c r="P29" s="349" t="s">
        <v>457</v>
      </c>
      <c r="Q29" s="349" t="s">
        <v>457</v>
      </c>
      <c r="R29" s="349" t="s">
        <v>457</v>
      </c>
      <c r="S29" s="349" t="s">
        <v>457</v>
      </c>
      <c r="T29" s="351" t="s">
        <v>458</v>
      </c>
      <c r="U29" s="352" t="s">
        <v>458</v>
      </c>
      <c r="V29" s="351" t="s">
        <v>458</v>
      </c>
      <c r="W29" s="352" t="s">
        <v>458</v>
      </c>
      <c r="X29" s="362" t="s">
        <v>459</v>
      </c>
      <c r="Y29" s="351" t="s">
        <v>458</v>
      </c>
      <c r="Z29" s="370" t="s">
        <v>459</v>
      </c>
      <c r="AA29" s="370" t="s">
        <v>459</v>
      </c>
      <c r="AB29" s="370" t="s">
        <v>459</v>
      </c>
      <c r="AD29" s="354" t="s">
        <v>461</v>
      </c>
      <c r="AE29" s="354" t="s">
        <v>461</v>
      </c>
      <c r="AF29" s="354" t="s">
        <v>461</v>
      </c>
      <c r="AG29" s="354" t="s">
        <v>461</v>
      </c>
      <c r="AH29" s="354" t="s">
        <v>461</v>
      </c>
      <c r="AI29" s="354" t="s">
        <v>461</v>
      </c>
      <c r="AJ29" s="354" t="s">
        <v>461</v>
      </c>
      <c r="AK29" s="354" t="s">
        <v>461</v>
      </c>
      <c r="AL29" s="358" t="s">
        <v>98</v>
      </c>
      <c r="AM29" s="358" t="s">
        <v>98</v>
      </c>
      <c r="AN29" s="358" t="s">
        <v>98</v>
      </c>
      <c r="AO29" s="358" t="s">
        <v>98</v>
      </c>
      <c r="AP29" s="358" t="s">
        <v>98</v>
      </c>
      <c r="AQ29" s="61"/>
      <c r="AR29" s="388" t="s">
        <v>458</v>
      </c>
      <c r="AS29" s="388" t="s">
        <v>458</v>
      </c>
      <c r="AT29" s="388" t="s">
        <v>458</v>
      </c>
      <c r="AU29" s="388" t="s">
        <v>458</v>
      </c>
      <c r="AV29" s="388" t="s">
        <v>458</v>
      </c>
      <c r="AW29" s="388" t="s">
        <v>458</v>
      </c>
      <c r="AX29" s="388" t="s">
        <v>458</v>
      </c>
      <c r="AY29" s="388" t="s">
        <v>458</v>
      </c>
      <c r="AZ29" s="374" t="s">
        <v>459</v>
      </c>
      <c r="BA29" s="374" t="s">
        <v>458</v>
      </c>
      <c r="BB29" s="411" t="s">
        <v>471</v>
      </c>
      <c r="BC29" s="374" t="s">
        <v>459</v>
      </c>
      <c r="BD29" s="374" t="s">
        <v>459</v>
      </c>
      <c r="BE29" s="61"/>
      <c r="BF29" s="388" t="s">
        <v>458</v>
      </c>
      <c r="BG29" s="388" t="s">
        <v>458</v>
      </c>
      <c r="BH29" s="388" t="s">
        <v>458</v>
      </c>
      <c r="BI29" s="388" t="s">
        <v>458</v>
      </c>
      <c r="BJ29" s="388" t="s">
        <v>458</v>
      </c>
      <c r="BK29" s="388" t="s">
        <v>458</v>
      </c>
      <c r="BL29" s="388" t="s">
        <v>458</v>
      </c>
      <c r="BM29" s="388" t="s">
        <v>458</v>
      </c>
      <c r="BN29" s="388" t="s">
        <v>458</v>
      </c>
      <c r="BO29" s="388" t="s">
        <v>458</v>
      </c>
      <c r="BP29" s="374" t="s">
        <v>459</v>
      </c>
      <c r="BQ29" s="374" t="s">
        <v>459</v>
      </c>
      <c r="BR29" s="374" t="s">
        <v>459</v>
      </c>
      <c r="BS29" s="27"/>
      <c r="BT29" s="354" t="s">
        <v>461</v>
      </c>
      <c r="BU29" s="354" t="s">
        <v>461</v>
      </c>
      <c r="BV29" s="354" t="s">
        <v>461</v>
      </c>
      <c r="BW29" s="354" t="s">
        <v>461</v>
      </c>
      <c r="BX29" s="354" t="s">
        <v>461</v>
      </c>
      <c r="BY29" s="354" t="s">
        <v>461</v>
      </c>
      <c r="BZ29" s="354" t="s">
        <v>461</v>
      </c>
      <c r="CA29" s="354" t="s">
        <v>461</v>
      </c>
      <c r="CB29" s="358" t="s">
        <v>98</v>
      </c>
      <c r="CC29" s="358" t="s">
        <v>98</v>
      </c>
      <c r="CD29" s="358" t="s">
        <v>98</v>
      </c>
      <c r="CE29" s="358" t="s">
        <v>98</v>
      </c>
      <c r="CF29" s="358" t="s">
        <v>98</v>
      </c>
      <c r="CG29" s="61"/>
      <c r="CH29" s="388" t="s">
        <v>458</v>
      </c>
      <c r="CI29" s="388" t="s">
        <v>458</v>
      </c>
      <c r="CJ29" s="388" t="s">
        <v>458</v>
      </c>
      <c r="CK29" s="388" t="s">
        <v>458</v>
      </c>
      <c r="CL29" s="388" t="s">
        <v>458</v>
      </c>
      <c r="CM29" s="388" t="s">
        <v>458</v>
      </c>
      <c r="CN29" s="388" t="s">
        <v>458</v>
      </c>
      <c r="CO29" s="388" t="s">
        <v>458</v>
      </c>
      <c r="CP29" s="388" t="s">
        <v>459</v>
      </c>
      <c r="CQ29" s="388" t="s">
        <v>458</v>
      </c>
      <c r="CR29" s="374" t="s">
        <v>459</v>
      </c>
      <c r="CS29" s="374" t="s">
        <v>459</v>
      </c>
      <c r="CT29" s="374" t="s">
        <v>459</v>
      </c>
      <c r="CU29" s="61"/>
      <c r="CV29" s="388" t="s">
        <v>458</v>
      </c>
      <c r="CW29" s="388" t="s">
        <v>458</v>
      </c>
      <c r="CX29" s="388" t="s">
        <v>458</v>
      </c>
      <c r="CY29" s="388" t="s">
        <v>458</v>
      </c>
      <c r="CZ29" s="388" t="s">
        <v>458</v>
      </c>
      <c r="DA29" s="388" t="s">
        <v>458</v>
      </c>
      <c r="DB29" s="388" t="s">
        <v>458</v>
      </c>
      <c r="DC29" s="388" t="s">
        <v>458</v>
      </c>
      <c r="DD29" s="398" t="s">
        <v>459</v>
      </c>
      <c r="DE29" s="388" t="s">
        <v>458</v>
      </c>
      <c r="DF29" s="398" t="s">
        <v>459</v>
      </c>
      <c r="DG29" s="398" t="s">
        <v>459</v>
      </c>
      <c r="DH29" s="399" t="s">
        <v>459</v>
      </c>
    </row>
    <row r="30" spans="1:112" ht="54.95" customHeight="1">
      <c r="A30" s="708" t="s">
        <v>1</v>
      </c>
      <c r="B30" s="354" t="s">
        <v>461</v>
      </c>
      <c r="C30" s="354" t="s">
        <v>461</v>
      </c>
      <c r="D30" s="354" t="s">
        <v>461</v>
      </c>
      <c r="E30" s="354" t="s">
        <v>461</v>
      </c>
      <c r="F30" s="354" t="s">
        <v>461</v>
      </c>
      <c r="G30" s="354" t="s">
        <v>461</v>
      </c>
      <c r="H30" s="354" t="s">
        <v>461</v>
      </c>
      <c r="I30" s="354" t="s">
        <v>461</v>
      </c>
      <c r="J30" s="358" t="s">
        <v>98</v>
      </c>
      <c r="K30" s="358" t="s">
        <v>98</v>
      </c>
      <c r="L30" s="358" t="s">
        <v>98</v>
      </c>
      <c r="M30" s="358" t="s">
        <v>98</v>
      </c>
      <c r="N30" s="358" t="s">
        <v>98</v>
      </c>
      <c r="P30" s="350" t="s">
        <v>483</v>
      </c>
      <c r="Q30" s="350" t="s">
        <v>484</v>
      </c>
      <c r="R30" s="350" t="s">
        <v>510</v>
      </c>
      <c r="S30" s="350" t="s">
        <v>511</v>
      </c>
      <c r="T30" s="350" t="s">
        <v>485</v>
      </c>
      <c r="U30" s="350" t="s">
        <v>486</v>
      </c>
      <c r="V30" s="350" t="s">
        <v>487</v>
      </c>
      <c r="W30" s="350" t="s">
        <v>488</v>
      </c>
      <c r="X30" s="362" t="s">
        <v>459</v>
      </c>
      <c r="Y30" s="350" t="s">
        <v>489</v>
      </c>
      <c r="Z30" s="370" t="s">
        <v>459</v>
      </c>
      <c r="AA30" s="370" t="s">
        <v>459</v>
      </c>
      <c r="AB30" s="370" t="s">
        <v>459</v>
      </c>
      <c r="AD30" s="354" t="s">
        <v>461</v>
      </c>
      <c r="AE30" s="354" t="s">
        <v>461</v>
      </c>
      <c r="AF30" s="354" t="s">
        <v>461</v>
      </c>
      <c r="AG30" s="354" t="s">
        <v>461</v>
      </c>
      <c r="AH30" s="354" t="s">
        <v>461</v>
      </c>
      <c r="AI30" s="354" t="s">
        <v>461</v>
      </c>
      <c r="AJ30" s="354" t="s">
        <v>461</v>
      </c>
      <c r="AK30" s="354" t="s">
        <v>461</v>
      </c>
      <c r="AL30" s="358" t="s">
        <v>98</v>
      </c>
      <c r="AM30" s="358" t="s">
        <v>98</v>
      </c>
      <c r="AN30" s="358" t="s">
        <v>98</v>
      </c>
      <c r="AO30" s="358" t="s">
        <v>98</v>
      </c>
      <c r="AP30" s="358" t="s">
        <v>98</v>
      </c>
      <c r="AQ30" s="387"/>
      <c r="AR30" s="388" t="s">
        <v>458</v>
      </c>
      <c r="AS30" s="388" t="s">
        <v>458</v>
      </c>
      <c r="AT30" s="388" t="s">
        <v>458</v>
      </c>
      <c r="AU30" s="388" t="s">
        <v>458</v>
      </c>
      <c r="AV30" s="388" t="s">
        <v>458</v>
      </c>
      <c r="AW30" s="388" t="s">
        <v>458</v>
      </c>
      <c r="AX30" s="388" t="s">
        <v>458</v>
      </c>
      <c r="AY30" s="388" t="s">
        <v>458</v>
      </c>
      <c r="AZ30" s="374" t="s">
        <v>459</v>
      </c>
      <c r="BA30" s="374" t="s">
        <v>458</v>
      </c>
      <c r="BB30" s="411" t="s">
        <v>471</v>
      </c>
      <c r="BC30" s="374" t="s">
        <v>459</v>
      </c>
      <c r="BD30" s="374" t="s">
        <v>459</v>
      </c>
      <c r="BE30" s="387"/>
      <c r="BF30" s="388" t="s">
        <v>458</v>
      </c>
      <c r="BG30" s="388" t="s">
        <v>458</v>
      </c>
      <c r="BH30" s="388" t="s">
        <v>458</v>
      </c>
      <c r="BI30" s="388" t="s">
        <v>458</v>
      </c>
      <c r="BJ30" s="388" t="s">
        <v>458</v>
      </c>
      <c r="BK30" s="388" t="s">
        <v>458</v>
      </c>
      <c r="BL30" s="388" t="s">
        <v>458</v>
      </c>
      <c r="BM30" s="388" t="s">
        <v>458</v>
      </c>
      <c r="BN30" s="388" t="s">
        <v>458</v>
      </c>
      <c r="BO30" s="388" t="s">
        <v>458</v>
      </c>
      <c r="BP30" s="374" t="s">
        <v>459</v>
      </c>
      <c r="BQ30" s="374" t="s">
        <v>459</v>
      </c>
      <c r="BR30" s="374" t="s">
        <v>459</v>
      </c>
      <c r="BS30" s="28"/>
      <c r="BT30" s="354" t="s">
        <v>461</v>
      </c>
      <c r="BU30" s="354" t="s">
        <v>461</v>
      </c>
      <c r="BV30" s="354" t="s">
        <v>461</v>
      </c>
      <c r="BW30" s="354" t="s">
        <v>461</v>
      </c>
      <c r="BX30" s="354" t="s">
        <v>461</v>
      </c>
      <c r="BY30" s="354" t="s">
        <v>461</v>
      </c>
      <c r="BZ30" s="354" t="s">
        <v>461</v>
      </c>
      <c r="CA30" s="354" t="s">
        <v>461</v>
      </c>
      <c r="CB30" s="358" t="s">
        <v>98</v>
      </c>
      <c r="CC30" s="358" t="s">
        <v>98</v>
      </c>
      <c r="CD30" s="358" t="s">
        <v>98</v>
      </c>
      <c r="CE30" s="358" t="s">
        <v>98</v>
      </c>
      <c r="CF30" s="358" t="s">
        <v>98</v>
      </c>
      <c r="CG30" s="387"/>
      <c r="CH30" s="389" t="s">
        <v>523</v>
      </c>
      <c r="CI30" s="389" t="s">
        <v>524</v>
      </c>
      <c r="CJ30" s="389" t="s">
        <v>525</v>
      </c>
      <c r="CK30" s="389" t="s">
        <v>526</v>
      </c>
      <c r="CL30" s="389" t="s">
        <v>527</v>
      </c>
      <c r="CM30" s="389" t="s">
        <v>528</v>
      </c>
      <c r="CN30" s="389" t="s">
        <v>529</v>
      </c>
      <c r="CO30" s="389" t="s">
        <v>530</v>
      </c>
      <c r="CP30" s="388" t="s">
        <v>459</v>
      </c>
      <c r="CQ30" s="389" t="s">
        <v>531</v>
      </c>
      <c r="CR30" s="374" t="s">
        <v>459</v>
      </c>
      <c r="CS30" s="374" t="s">
        <v>459</v>
      </c>
      <c r="CT30" s="374" t="s">
        <v>459</v>
      </c>
      <c r="CU30" s="387"/>
      <c r="CV30" s="388" t="s">
        <v>458</v>
      </c>
      <c r="CW30" s="388" t="s">
        <v>458</v>
      </c>
      <c r="CX30" s="388" t="s">
        <v>458</v>
      </c>
      <c r="CY30" s="388" t="s">
        <v>458</v>
      </c>
      <c r="CZ30" s="388" t="s">
        <v>458</v>
      </c>
      <c r="DA30" s="388" t="s">
        <v>458</v>
      </c>
      <c r="DB30" s="388" t="s">
        <v>458</v>
      </c>
      <c r="DC30" s="388" t="s">
        <v>458</v>
      </c>
      <c r="DD30" s="398" t="s">
        <v>459</v>
      </c>
      <c r="DE30" s="388" t="s">
        <v>458</v>
      </c>
      <c r="DF30" s="398" t="s">
        <v>459</v>
      </c>
      <c r="DG30" s="398" t="s">
        <v>459</v>
      </c>
      <c r="DH30" s="399" t="s">
        <v>459</v>
      </c>
    </row>
    <row r="31" spans="1:112" ht="89.25">
      <c r="A31" s="708" t="s">
        <v>2</v>
      </c>
      <c r="B31" s="354" t="s">
        <v>461</v>
      </c>
      <c r="C31" s="354" t="s">
        <v>461</v>
      </c>
      <c r="D31" s="354" t="s">
        <v>461</v>
      </c>
      <c r="E31" s="354" t="s">
        <v>461</v>
      </c>
      <c r="F31" s="354" t="s">
        <v>461</v>
      </c>
      <c r="G31" s="354" t="s">
        <v>461</v>
      </c>
      <c r="H31" s="354" t="s">
        <v>461</v>
      </c>
      <c r="I31" s="354" t="s">
        <v>461</v>
      </c>
      <c r="J31" s="358" t="s">
        <v>98</v>
      </c>
      <c r="K31" s="358" t="s">
        <v>98</v>
      </c>
      <c r="L31" s="358" t="s">
        <v>98</v>
      </c>
      <c r="M31" s="358" t="s">
        <v>98</v>
      </c>
      <c r="N31" s="358" t="s">
        <v>98</v>
      </c>
      <c r="P31" s="349" t="s">
        <v>457</v>
      </c>
      <c r="Q31" s="349" t="s">
        <v>457</v>
      </c>
      <c r="R31" s="349" t="s">
        <v>457</v>
      </c>
      <c r="S31" s="349" t="s">
        <v>457</v>
      </c>
      <c r="T31" s="351" t="s">
        <v>458</v>
      </c>
      <c r="U31" s="352" t="s">
        <v>458</v>
      </c>
      <c r="V31" s="351" t="s">
        <v>458</v>
      </c>
      <c r="W31" s="352" t="s">
        <v>458</v>
      </c>
      <c r="X31" s="362" t="s">
        <v>459</v>
      </c>
      <c r="Y31" s="351" t="s">
        <v>458</v>
      </c>
      <c r="Z31" s="370" t="s">
        <v>459</v>
      </c>
      <c r="AA31" s="370" t="s">
        <v>459</v>
      </c>
      <c r="AB31" s="370" t="s">
        <v>459</v>
      </c>
      <c r="AD31" s="354" t="s">
        <v>461</v>
      </c>
      <c r="AE31" s="354" t="s">
        <v>461</v>
      </c>
      <c r="AF31" s="354" t="s">
        <v>461</v>
      </c>
      <c r="AG31" s="354" t="s">
        <v>461</v>
      </c>
      <c r="AH31" s="354" t="s">
        <v>461</v>
      </c>
      <c r="AI31" s="354" t="s">
        <v>461</v>
      </c>
      <c r="AJ31" s="354" t="s">
        <v>461</v>
      </c>
      <c r="AK31" s="354" t="s">
        <v>461</v>
      </c>
      <c r="AL31" s="358" t="s">
        <v>98</v>
      </c>
      <c r="AM31" s="358" t="s">
        <v>98</v>
      </c>
      <c r="AN31" s="358" t="s">
        <v>98</v>
      </c>
      <c r="AO31" s="358" t="s">
        <v>98</v>
      </c>
      <c r="AP31" s="358" t="s">
        <v>98</v>
      </c>
      <c r="AQ31" s="61"/>
      <c r="AR31" s="388" t="s">
        <v>458</v>
      </c>
      <c r="AS31" s="388" t="s">
        <v>458</v>
      </c>
      <c r="AT31" s="388" t="s">
        <v>458</v>
      </c>
      <c r="AU31" s="388" t="s">
        <v>458</v>
      </c>
      <c r="AV31" s="388" t="s">
        <v>458</v>
      </c>
      <c r="AW31" s="388" t="s">
        <v>458</v>
      </c>
      <c r="AX31" s="388" t="s">
        <v>458</v>
      </c>
      <c r="AY31" s="388" t="s">
        <v>458</v>
      </c>
      <c r="AZ31" s="374" t="s">
        <v>459</v>
      </c>
      <c r="BA31" s="374" t="s">
        <v>458</v>
      </c>
      <c r="BB31" s="411" t="s">
        <v>471</v>
      </c>
      <c r="BC31" s="374" t="s">
        <v>459</v>
      </c>
      <c r="BD31" s="374" t="s">
        <v>459</v>
      </c>
      <c r="BE31" s="61"/>
      <c r="BF31" s="388" t="s">
        <v>458</v>
      </c>
      <c r="BG31" s="388" t="s">
        <v>458</v>
      </c>
      <c r="BH31" s="388" t="s">
        <v>458</v>
      </c>
      <c r="BI31" s="388" t="s">
        <v>458</v>
      </c>
      <c r="BJ31" s="388" t="s">
        <v>458</v>
      </c>
      <c r="BK31" s="388" t="s">
        <v>458</v>
      </c>
      <c r="BL31" s="388" t="s">
        <v>458</v>
      </c>
      <c r="BM31" s="388" t="s">
        <v>458</v>
      </c>
      <c r="BN31" s="388" t="s">
        <v>458</v>
      </c>
      <c r="BO31" s="388" t="s">
        <v>458</v>
      </c>
      <c r="BP31" s="374" t="s">
        <v>459</v>
      </c>
      <c r="BQ31" s="374" t="s">
        <v>459</v>
      </c>
      <c r="BR31" s="374" t="s">
        <v>459</v>
      </c>
      <c r="BS31" s="27"/>
      <c r="BT31" s="354" t="s">
        <v>461</v>
      </c>
      <c r="BU31" s="354" t="s">
        <v>461</v>
      </c>
      <c r="BV31" s="354" t="s">
        <v>461</v>
      </c>
      <c r="BW31" s="354" t="s">
        <v>461</v>
      </c>
      <c r="BX31" s="354" t="s">
        <v>461</v>
      </c>
      <c r="BY31" s="354" t="s">
        <v>461</v>
      </c>
      <c r="BZ31" s="354" t="s">
        <v>461</v>
      </c>
      <c r="CA31" s="354" t="s">
        <v>461</v>
      </c>
      <c r="CB31" s="358" t="s">
        <v>98</v>
      </c>
      <c r="CC31" s="358" t="s">
        <v>98</v>
      </c>
      <c r="CD31" s="358" t="s">
        <v>98</v>
      </c>
      <c r="CE31" s="358" t="s">
        <v>98</v>
      </c>
      <c r="CF31" s="358" t="s">
        <v>98</v>
      </c>
      <c r="CG31" s="61"/>
      <c r="CH31" s="388" t="s">
        <v>458</v>
      </c>
      <c r="CI31" s="388" t="s">
        <v>458</v>
      </c>
      <c r="CJ31" s="388" t="s">
        <v>458</v>
      </c>
      <c r="CK31" s="388" t="s">
        <v>458</v>
      </c>
      <c r="CL31" s="388" t="s">
        <v>458</v>
      </c>
      <c r="CM31" s="388" t="s">
        <v>458</v>
      </c>
      <c r="CN31" s="388" t="s">
        <v>458</v>
      </c>
      <c r="CO31" s="388" t="s">
        <v>458</v>
      </c>
      <c r="CP31" s="388" t="s">
        <v>459</v>
      </c>
      <c r="CQ31" s="388" t="s">
        <v>458</v>
      </c>
      <c r="CR31" s="374" t="s">
        <v>459</v>
      </c>
      <c r="CS31" s="374" t="s">
        <v>459</v>
      </c>
      <c r="CT31" s="374" t="s">
        <v>459</v>
      </c>
      <c r="CU31" s="61"/>
      <c r="CV31" s="388" t="s">
        <v>458</v>
      </c>
      <c r="CW31" s="388" t="s">
        <v>458</v>
      </c>
      <c r="CX31" s="388" t="s">
        <v>458</v>
      </c>
      <c r="CY31" s="388" t="s">
        <v>458</v>
      </c>
      <c r="CZ31" s="388" t="s">
        <v>458</v>
      </c>
      <c r="DA31" s="388" t="s">
        <v>458</v>
      </c>
      <c r="DB31" s="388" t="s">
        <v>458</v>
      </c>
      <c r="DC31" s="388" t="s">
        <v>458</v>
      </c>
      <c r="DD31" s="398" t="s">
        <v>459</v>
      </c>
      <c r="DE31" s="388" t="s">
        <v>458</v>
      </c>
      <c r="DF31" s="398" t="s">
        <v>459</v>
      </c>
      <c r="DG31" s="400" t="s">
        <v>459</v>
      </c>
      <c r="DH31" s="399" t="s">
        <v>459</v>
      </c>
    </row>
    <row r="32" spans="1:112" ht="89.25">
      <c r="A32" s="708" t="s">
        <v>3</v>
      </c>
      <c r="B32" s="354" t="s">
        <v>461</v>
      </c>
      <c r="C32" s="354" t="s">
        <v>461</v>
      </c>
      <c r="D32" s="354" t="s">
        <v>461</v>
      </c>
      <c r="E32" s="354" t="s">
        <v>461</v>
      </c>
      <c r="F32" s="354" t="s">
        <v>461</v>
      </c>
      <c r="G32" s="354" t="s">
        <v>461</v>
      </c>
      <c r="H32" s="354" t="s">
        <v>461</v>
      </c>
      <c r="I32" s="354" t="s">
        <v>461</v>
      </c>
      <c r="J32" s="358" t="s">
        <v>98</v>
      </c>
      <c r="K32" s="358" t="s">
        <v>98</v>
      </c>
      <c r="L32" s="358" t="s">
        <v>98</v>
      </c>
      <c r="M32" s="358" t="s">
        <v>98</v>
      </c>
      <c r="N32" s="358" t="s">
        <v>98</v>
      </c>
      <c r="P32" s="349" t="s">
        <v>457</v>
      </c>
      <c r="Q32" s="349" t="s">
        <v>457</v>
      </c>
      <c r="R32" s="349" t="s">
        <v>457</v>
      </c>
      <c r="S32" s="349" t="s">
        <v>457</v>
      </c>
      <c r="T32" s="351" t="s">
        <v>458</v>
      </c>
      <c r="U32" s="352" t="s">
        <v>458</v>
      </c>
      <c r="V32" s="351" t="s">
        <v>458</v>
      </c>
      <c r="W32" s="352" t="s">
        <v>458</v>
      </c>
      <c r="X32" s="362" t="s">
        <v>459</v>
      </c>
      <c r="Y32" s="351" t="s">
        <v>458</v>
      </c>
      <c r="Z32" s="370" t="s">
        <v>459</v>
      </c>
      <c r="AA32" s="370" t="s">
        <v>459</v>
      </c>
      <c r="AB32" s="370" t="s">
        <v>459</v>
      </c>
      <c r="AD32" s="354" t="s">
        <v>461</v>
      </c>
      <c r="AE32" s="354" t="s">
        <v>461</v>
      </c>
      <c r="AF32" s="354" t="s">
        <v>461</v>
      </c>
      <c r="AG32" s="354" t="s">
        <v>461</v>
      </c>
      <c r="AH32" s="354" t="s">
        <v>461</v>
      </c>
      <c r="AI32" s="354" t="s">
        <v>461</v>
      </c>
      <c r="AJ32" s="354" t="s">
        <v>461</v>
      </c>
      <c r="AK32" s="354" t="s">
        <v>461</v>
      </c>
      <c r="AL32" s="358" t="s">
        <v>98</v>
      </c>
      <c r="AM32" s="358" t="s">
        <v>98</v>
      </c>
      <c r="AN32" s="358" t="s">
        <v>98</v>
      </c>
      <c r="AO32" s="358" t="s">
        <v>98</v>
      </c>
      <c r="AP32" s="358" t="s">
        <v>98</v>
      </c>
      <c r="AQ32" s="61"/>
      <c r="AR32" s="388" t="s">
        <v>458</v>
      </c>
      <c r="AS32" s="388" t="s">
        <v>458</v>
      </c>
      <c r="AT32" s="388" t="s">
        <v>458</v>
      </c>
      <c r="AU32" s="388" t="s">
        <v>458</v>
      </c>
      <c r="AV32" s="388" t="s">
        <v>458</v>
      </c>
      <c r="AW32" s="388" t="s">
        <v>458</v>
      </c>
      <c r="AX32" s="388" t="s">
        <v>458</v>
      </c>
      <c r="AY32" s="388" t="s">
        <v>458</v>
      </c>
      <c r="AZ32" s="374" t="s">
        <v>459</v>
      </c>
      <c r="BA32" s="374" t="s">
        <v>458</v>
      </c>
      <c r="BB32" s="411" t="s">
        <v>471</v>
      </c>
      <c r="BC32" s="374" t="s">
        <v>459</v>
      </c>
      <c r="BD32" s="374" t="s">
        <v>459</v>
      </c>
      <c r="BE32" s="61"/>
      <c r="BF32" s="388" t="s">
        <v>458</v>
      </c>
      <c r="BG32" s="388" t="s">
        <v>458</v>
      </c>
      <c r="BH32" s="388" t="s">
        <v>458</v>
      </c>
      <c r="BI32" s="388" t="s">
        <v>458</v>
      </c>
      <c r="BJ32" s="388" t="s">
        <v>458</v>
      </c>
      <c r="BK32" s="388" t="s">
        <v>458</v>
      </c>
      <c r="BL32" s="388" t="s">
        <v>458</v>
      </c>
      <c r="BM32" s="388" t="s">
        <v>458</v>
      </c>
      <c r="BN32" s="388" t="s">
        <v>458</v>
      </c>
      <c r="BO32" s="388" t="s">
        <v>458</v>
      </c>
      <c r="BP32" s="374" t="s">
        <v>459</v>
      </c>
      <c r="BQ32" s="374" t="s">
        <v>459</v>
      </c>
      <c r="BR32" s="374" t="s">
        <v>459</v>
      </c>
      <c r="BS32" s="27"/>
      <c r="BT32" s="354" t="s">
        <v>461</v>
      </c>
      <c r="BU32" s="354" t="s">
        <v>461</v>
      </c>
      <c r="BV32" s="354" t="s">
        <v>461</v>
      </c>
      <c r="BW32" s="354" t="s">
        <v>461</v>
      </c>
      <c r="BX32" s="354" t="s">
        <v>461</v>
      </c>
      <c r="BY32" s="354" t="s">
        <v>461</v>
      </c>
      <c r="BZ32" s="354" t="s">
        <v>461</v>
      </c>
      <c r="CA32" s="354" t="s">
        <v>461</v>
      </c>
      <c r="CB32" s="358" t="s">
        <v>98</v>
      </c>
      <c r="CC32" s="358" t="s">
        <v>98</v>
      </c>
      <c r="CD32" s="358" t="s">
        <v>98</v>
      </c>
      <c r="CE32" s="358" t="s">
        <v>98</v>
      </c>
      <c r="CF32" s="358" t="s">
        <v>98</v>
      </c>
      <c r="CG32" s="61"/>
      <c r="CH32" s="388" t="s">
        <v>458</v>
      </c>
      <c r="CI32" s="388" t="s">
        <v>458</v>
      </c>
      <c r="CJ32" s="388" t="s">
        <v>458</v>
      </c>
      <c r="CK32" s="388" t="s">
        <v>458</v>
      </c>
      <c r="CL32" s="388" t="s">
        <v>458</v>
      </c>
      <c r="CM32" s="388" t="s">
        <v>458</v>
      </c>
      <c r="CN32" s="388" t="s">
        <v>458</v>
      </c>
      <c r="CO32" s="388" t="s">
        <v>458</v>
      </c>
      <c r="CP32" s="388" t="s">
        <v>459</v>
      </c>
      <c r="CQ32" s="388" t="s">
        <v>458</v>
      </c>
      <c r="CR32" s="374" t="s">
        <v>459</v>
      </c>
      <c r="CS32" s="374" t="s">
        <v>459</v>
      </c>
      <c r="CT32" s="374" t="s">
        <v>459</v>
      </c>
      <c r="CU32" s="61"/>
      <c r="CV32" s="388" t="s">
        <v>458</v>
      </c>
      <c r="CW32" s="388" t="s">
        <v>458</v>
      </c>
      <c r="CX32" s="388" t="s">
        <v>458</v>
      </c>
      <c r="CY32" s="388" t="s">
        <v>458</v>
      </c>
      <c r="CZ32" s="388" t="s">
        <v>458</v>
      </c>
      <c r="DA32" s="388" t="s">
        <v>458</v>
      </c>
      <c r="DB32" s="388" t="s">
        <v>458</v>
      </c>
      <c r="DC32" s="388" t="s">
        <v>458</v>
      </c>
      <c r="DD32" s="398" t="s">
        <v>459</v>
      </c>
      <c r="DE32" s="388" t="s">
        <v>458</v>
      </c>
      <c r="DF32" s="398" t="s">
        <v>459</v>
      </c>
      <c r="DG32" s="398" t="s">
        <v>459</v>
      </c>
      <c r="DH32" s="399" t="s">
        <v>459</v>
      </c>
    </row>
    <row r="33" spans="1:112" ht="89.25">
      <c r="A33" s="708" t="s">
        <v>4</v>
      </c>
      <c r="B33" s="354" t="s">
        <v>461</v>
      </c>
      <c r="C33" s="354" t="s">
        <v>461</v>
      </c>
      <c r="D33" s="354" t="s">
        <v>461</v>
      </c>
      <c r="E33" s="354" t="s">
        <v>461</v>
      </c>
      <c r="F33" s="354" t="s">
        <v>461</v>
      </c>
      <c r="G33" s="354" t="s">
        <v>461</v>
      </c>
      <c r="H33" s="354" t="s">
        <v>461</v>
      </c>
      <c r="I33" s="354" t="s">
        <v>461</v>
      </c>
      <c r="J33" s="358" t="s">
        <v>98</v>
      </c>
      <c r="K33" s="358" t="s">
        <v>98</v>
      </c>
      <c r="L33" s="358" t="s">
        <v>98</v>
      </c>
      <c r="M33" s="358" t="s">
        <v>98</v>
      </c>
      <c r="N33" s="358" t="s">
        <v>98</v>
      </c>
      <c r="P33" s="378" t="s">
        <v>460</v>
      </c>
      <c r="Q33" s="378" t="s">
        <v>460</v>
      </c>
      <c r="R33" s="378" t="s">
        <v>460</v>
      </c>
      <c r="S33" s="378" t="s">
        <v>460</v>
      </c>
      <c r="T33" s="378" t="s">
        <v>460</v>
      </c>
      <c r="U33" s="378" t="s">
        <v>460</v>
      </c>
      <c r="V33" s="378" t="s">
        <v>460</v>
      </c>
      <c r="W33" s="378" t="s">
        <v>460</v>
      </c>
      <c r="X33" s="378" t="s">
        <v>460</v>
      </c>
      <c r="Y33" s="378" t="s">
        <v>460</v>
      </c>
      <c r="Z33" s="378" t="s">
        <v>460</v>
      </c>
      <c r="AA33" s="378" t="s">
        <v>460</v>
      </c>
      <c r="AB33" s="378" t="s">
        <v>460</v>
      </c>
      <c r="AD33" s="354" t="s">
        <v>461</v>
      </c>
      <c r="AE33" s="354" t="s">
        <v>461</v>
      </c>
      <c r="AF33" s="354" t="s">
        <v>461</v>
      </c>
      <c r="AG33" s="354" t="s">
        <v>461</v>
      </c>
      <c r="AH33" s="354" t="s">
        <v>461</v>
      </c>
      <c r="AI33" s="354" t="s">
        <v>461</v>
      </c>
      <c r="AJ33" s="354" t="s">
        <v>461</v>
      </c>
      <c r="AK33" s="354" t="s">
        <v>461</v>
      </c>
      <c r="AL33" s="358" t="s">
        <v>98</v>
      </c>
      <c r="AM33" s="358" t="s">
        <v>98</v>
      </c>
      <c r="AN33" s="358" t="s">
        <v>98</v>
      </c>
      <c r="AO33" s="358" t="s">
        <v>98</v>
      </c>
      <c r="AP33" s="358" t="s">
        <v>98</v>
      </c>
      <c r="AQ33" s="61"/>
      <c r="AR33" s="378" t="s">
        <v>460</v>
      </c>
      <c r="AS33" s="378" t="s">
        <v>460</v>
      </c>
      <c r="AT33" s="378" t="s">
        <v>460</v>
      </c>
      <c r="AU33" s="378" t="s">
        <v>460</v>
      </c>
      <c r="AV33" s="378" t="s">
        <v>460</v>
      </c>
      <c r="AW33" s="378" t="s">
        <v>460</v>
      </c>
      <c r="AX33" s="378" t="s">
        <v>460</v>
      </c>
      <c r="AY33" s="378" t="s">
        <v>460</v>
      </c>
      <c r="AZ33" s="378" t="s">
        <v>460</v>
      </c>
      <c r="BA33" s="378" t="s">
        <v>460</v>
      </c>
      <c r="BB33" s="378" t="s">
        <v>460</v>
      </c>
      <c r="BC33" s="378" t="s">
        <v>460</v>
      </c>
      <c r="BD33" s="378" t="s">
        <v>460</v>
      </c>
      <c r="BE33" s="61"/>
      <c r="BF33" s="388" t="s">
        <v>458</v>
      </c>
      <c r="BG33" s="388" t="s">
        <v>458</v>
      </c>
      <c r="BH33" s="388" t="s">
        <v>458</v>
      </c>
      <c r="BI33" s="388" t="s">
        <v>458</v>
      </c>
      <c r="BJ33" s="388" t="s">
        <v>458</v>
      </c>
      <c r="BK33" s="388" t="s">
        <v>458</v>
      </c>
      <c r="BL33" s="388" t="s">
        <v>458</v>
      </c>
      <c r="BM33" s="388" t="s">
        <v>458</v>
      </c>
      <c r="BN33" s="388" t="s">
        <v>458</v>
      </c>
      <c r="BO33" s="388" t="s">
        <v>458</v>
      </c>
      <c r="BP33" s="374" t="s">
        <v>459</v>
      </c>
      <c r="BQ33" s="374" t="s">
        <v>459</v>
      </c>
      <c r="BR33" s="374" t="s">
        <v>459</v>
      </c>
      <c r="BS33" s="27"/>
      <c r="BT33" s="378" t="s">
        <v>460</v>
      </c>
      <c r="BU33" s="378" t="s">
        <v>460</v>
      </c>
      <c r="BV33" s="378" t="s">
        <v>460</v>
      </c>
      <c r="BW33" s="378" t="s">
        <v>460</v>
      </c>
      <c r="BX33" s="378" t="s">
        <v>460</v>
      </c>
      <c r="BY33" s="378" t="s">
        <v>460</v>
      </c>
      <c r="BZ33" s="378" t="s">
        <v>460</v>
      </c>
      <c r="CA33" s="378" t="s">
        <v>460</v>
      </c>
      <c r="CB33" s="378" t="s">
        <v>460</v>
      </c>
      <c r="CC33" s="378" t="s">
        <v>460</v>
      </c>
      <c r="CD33" s="378" t="s">
        <v>460</v>
      </c>
      <c r="CE33" s="378" t="s">
        <v>460</v>
      </c>
      <c r="CF33" s="378" t="s">
        <v>460</v>
      </c>
      <c r="CG33" s="61"/>
      <c r="CH33" s="378" t="s">
        <v>460</v>
      </c>
      <c r="CI33" s="378" t="s">
        <v>460</v>
      </c>
      <c r="CJ33" s="378" t="s">
        <v>460</v>
      </c>
      <c r="CK33" s="378" t="s">
        <v>460</v>
      </c>
      <c r="CL33" s="378" t="s">
        <v>460</v>
      </c>
      <c r="CM33" s="378" t="s">
        <v>460</v>
      </c>
      <c r="CN33" s="378" t="s">
        <v>460</v>
      </c>
      <c r="CO33" s="378" t="s">
        <v>460</v>
      </c>
      <c r="CP33" s="378" t="s">
        <v>460</v>
      </c>
      <c r="CQ33" s="378" t="s">
        <v>460</v>
      </c>
      <c r="CR33" s="378" t="s">
        <v>460</v>
      </c>
      <c r="CS33" s="378" t="s">
        <v>460</v>
      </c>
      <c r="CT33" s="378" t="s">
        <v>460</v>
      </c>
      <c r="CU33" s="61"/>
      <c r="CV33" s="388" t="s">
        <v>458</v>
      </c>
      <c r="CW33" s="388" t="s">
        <v>458</v>
      </c>
      <c r="CX33" s="388" t="s">
        <v>458</v>
      </c>
      <c r="CY33" s="388" t="s">
        <v>458</v>
      </c>
      <c r="CZ33" s="388" t="s">
        <v>458</v>
      </c>
      <c r="DA33" s="388" t="s">
        <v>458</v>
      </c>
      <c r="DB33" s="388" t="s">
        <v>458</v>
      </c>
      <c r="DC33" s="388" t="s">
        <v>458</v>
      </c>
      <c r="DD33" s="398" t="s">
        <v>459</v>
      </c>
      <c r="DE33" s="388" t="s">
        <v>458</v>
      </c>
      <c r="DF33" s="398" t="s">
        <v>459</v>
      </c>
      <c r="DG33" s="398" t="s">
        <v>459</v>
      </c>
      <c r="DH33" s="399" t="s">
        <v>459</v>
      </c>
    </row>
    <row r="34" spans="1:112" ht="89.25">
      <c r="A34" s="708" t="s">
        <v>5</v>
      </c>
      <c r="B34" s="354" t="s">
        <v>461</v>
      </c>
      <c r="C34" s="354" t="s">
        <v>461</v>
      </c>
      <c r="D34" s="354" t="s">
        <v>461</v>
      </c>
      <c r="E34" s="354" t="s">
        <v>461</v>
      </c>
      <c r="F34" s="354" t="s">
        <v>461</v>
      </c>
      <c r="G34" s="354" t="s">
        <v>461</v>
      </c>
      <c r="H34" s="354" t="s">
        <v>461</v>
      </c>
      <c r="I34" s="354" t="s">
        <v>461</v>
      </c>
      <c r="J34" s="358" t="s">
        <v>98</v>
      </c>
      <c r="K34" s="358" t="s">
        <v>98</v>
      </c>
      <c r="L34" s="358" t="s">
        <v>98</v>
      </c>
      <c r="M34" s="358" t="s">
        <v>98</v>
      </c>
      <c r="N34" s="358" t="s">
        <v>98</v>
      </c>
      <c r="P34" s="349" t="s">
        <v>457</v>
      </c>
      <c r="Q34" s="349" t="s">
        <v>457</v>
      </c>
      <c r="R34" s="349" t="s">
        <v>457</v>
      </c>
      <c r="S34" s="349" t="s">
        <v>457</v>
      </c>
      <c r="T34" s="351" t="s">
        <v>458</v>
      </c>
      <c r="U34" s="359" t="s">
        <v>458</v>
      </c>
      <c r="V34" s="351" t="s">
        <v>458</v>
      </c>
      <c r="W34" s="359" t="s">
        <v>458</v>
      </c>
      <c r="X34" s="363" t="s">
        <v>459</v>
      </c>
      <c r="Y34" s="351" t="s">
        <v>458</v>
      </c>
      <c r="Z34" s="370" t="s">
        <v>459</v>
      </c>
      <c r="AA34" s="370" t="s">
        <v>459</v>
      </c>
      <c r="AB34" s="370" t="s">
        <v>459</v>
      </c>
      <c r="AD34" s="354" t="s">
        <v>461</v>
      </c>
      <c r="AE34" s="354" t="s">
        <v>461</v>
      </c>
      <c r="AF34" s="354" t="s">
        <v>461</v>
      </c>
      <c r="AG34" s="354" t="s">
        <v>461</v>
      </c>
      <c r="AH34" s="354" t="s">
        <v>461</v>
      </c>
      <c r="AI34" s="354" t="s">
        <v>461</v>
      </c>
      <c r="AJ34" s="354" t="s">
        <v>461</v>
      </c>
      <c r="AK34" s="354" t="s">
        <v>461</v>
      </c>
      <c r="AL34" s="358" t="s">
        <v>98</v>
      </c>
      <c r="AM34" s="358" t="s">
        <v>98</v>
      </c>
      <c r="AN34" s="358" t="s">
        <v>98</v>
      </c>
      <c r="AO34" s="358" t="s">
        <v>98</v>
      </c>
      <c r="AP34" s="358" t="s">
        <v>98</v>
      </c>
      <c r="AQ34" s="387"/>
      <c r="AR34" s="388" t="s">
        <v>458</v>
      </c>
      <c r="AS34" s="388" t="s">
        <v>458</v>
      </c>
      <c r="AT34" s="388" t="s">
        <v>458</v>
      </c>
      <c r="AU34" s="388" t="s">
        <v>458</v>
      </c>
      <c r="AV34" s="388" t="s">
        <v>458</v>
      </c>
      <c r="AW34" s="388" t="s">
        <v>458</v>
      </c>
      <c r="AX34" s="388" t="s">
        <v>458</v>
      </c>
      <c r="AY34" s="388" t="s">
        <v>458</v>
      </c>
      <c r="AZ34" s="374" t="s">
        <v>459</v>
      </c>
      <c r="BA34" s="374" t="s">
        <v>458</v>
      </c>
      <c r="BB34" s="411" t="s">
        <v>471</v>
      </c>
      <c r="BC34" s="374" t="s">
        <v>459</v>
      </c>
      <c r="BD34" s="374" t="s">
        <v>459</v>
      </c>
      <c r="BE34" s="387"/>
      <c r="BF34" s="388" t="s">
        <v>458</v>
      </c>
      <c r="BG34" s="388" t="s">
        <v>458</v>
      </c>
      <c r="BH34" s="388" t="s">
        <v>458</v>
      </c>
      <c r="BI34" s="388" t="s">
        <v>458</v>
      </c>
      <c r="BJ34" s="388" t="s">
        <v>458</v>
      </c>
      <c r="BK34" s="388" t="s">
        <v>458</v>
      </c>
      <c r="BL34" s="388" t="s">
        <v>458</v>
      </c>
      <c r="BM34" s="388" t="s">
        <v>458</v>
      </c>
      <c r="BN34" s="388" t="s">
        <v>458</v>
      </c>
      <c r="BO34" s="388" t="s">
        <v>458</v>
      </c>
      <c r="BP34" s="374" t="s">
        <v>459</v>
      </c>
      <c r="BQ34" s="374" t="s">
        <v>459</v>
      </c>
      <c r="BR34" s="374" t="s">
        <v>459</v>
      </c>
      <c r="BS34" s="28"/>
      <c r="BT34" s="354" t="s">
        <v>461</v>
      </c>
      <c r="BU34" s="354" t="s">
        <v>461</v>
      </c>
      <c r="BV34" s="354" t="s">
        <v>461</v>
      </c>
      <c r="BW34" s="354" t="s">
        <v>461</v>
      </c>
      <c r="BX34" s="354" t="s">
        <v>461</v>
      </c>
      <c r="BY34" s="354" t="s">
        <v>461</v>
      </c>
      <c r="BZ34" s="354" t="s">
        <v>461</v>
      </c>
      <c r="CA34" s="354" t="s">
        <v>461</v>
      </c>
      <c r="CB34" s="358" t="s">
        <v>98</v>
      </c>
      <c r="CC34" s="358" t="s">
        <v>98</v>
      </c>
      <c r="CD34" s="358" t="s">
        <v>98</v>
      </c>
      <c r="CE34" s="358" t="s">
        <v>98</v>
      </c>
      <c r="CF34" s="358" t="s">
        <v>98</v>
      </c>
      <c r="CG34" s="387"/>
      <c r="CH34" s="388" t="s">
        <v>458</v>
      </c>
      <c r="CI34" s="388" t="s">
        <v>458</v>
      </c>
      <c r="CJ34" s="388" t="s">
        <v>458</v>
      </c>
      <c r="CK34" s="388" t="s">
        <v>458</v>
      </c>
      <c r="CL34" s="388" t="s">
        <v>458</v>
      </c>
      <c r="CM34" s="388" t="s">
        <v>458</v>
      </c>
      <c r="CN34" s="388" t="s">
        <v>458</v>
      </c>
      <c r="CO34" s="388" t="s">
        <v>458</v>
      </c>
      <c r="CP34" s="388" t="s">
        <v>459</v>
      </c>
      <c r="CQ34" s="388" t="s">
        <v>458</v>
      </c>
      <c r="CR34" s="374" t="s">
        <v>459</v>
      </c>
      <c r="CS34" s="374" t="s">
        <v>459</v>
      </c>
      <c r="CT34" s="374" t="s">
        <v>459</v>
      </c>
      <c r="CU34" s="387"/>
      <c r="CV34" s="388" t="s">
        <v>458</v>
      </c>
      <c r="CW34" s="388" t="s">
        <v>458</v>
      </c>
      <c r="CX34" s="388" t="s">
        <v>458</v>
      </c>
      <c r="CY34" s="388" t="s">
        <v>458</v>
      </c>
      <c r="CZ34" s="388" t="s">
        <v>458</v>
      </c>
      <c r="DA34" s="388" t="s">
        <v>458</v>
      </c>
      <c r="DB34" s="388" t="s">
        <v>458</v>
      </c>
      <c r="DC34" s="388" t="s">
        <v>458</v>
      </c>
      <c r="DD34" s="398" t="s">
        <v>459</v>
      </c>
      <c r="DE34" s="388" t="s">
        <v>458</v>
      </c>
      <c r="DF34" s="398" t="s">
        <v>459</v>
      </c>
      <c r="DG34" s="398" t="s">
        <v>459</v>
      </c>
      <c r="DH34" s="399" t="s">
        <v>459</v>
      </c>
    </row>
    <row r="35" spans="1:112" ht="89.25">
      <c r="A35" s="708" t="s">
        <v>6</v>
      </c>
      <c r="B35" s="354" t="s">
        <v>461</v>
      </c>
      <c r="C35" s="354" t="s">
        <v>461</v>
      </c>
      <c r="D35" s="354" t="s">
        <v>461</v>
      </c>
      <c r="E35" s="354" t="s">
        <v>461</v>
      </c>
      <c r="F35" s="354" t="s">
        <v>461</v>
      </c>
      <c r="G35" s="354" t="s">
        <v>461</v>
      </c>
      <c r="H35" s="354" t="s">
        <v>461</v>
      </c>
      <c r="I35" s="354" t="s">
        <v>461</v>
      </c>
      <c r="J35" s="358" t="s">
        <v>98</v>
      </c>
      <c r="K35" s="358" t="s">
        <v>98</v>
      </c>
      <c r="L35" s="358" t="s">
        <v>98</v>
      </c>
      <c r="M35" s="358" t="s">
        <v>98</v>
      </c>
      <c r="N35" s="358" t="s">
        <v>98</v>
      </c>
      <c r="P35" s="349" t="s">
        <v>457</v>
      </c>
      <c r="Q35" s="349" t="s">
        <v>457</v>
      </c>
      <c r="R35" s="349" t="s">
        <v>457</v>
      </c>
      <c r="S35" s="349" t="s">
        <v>457</v>
      </c>
      <c r="T35" s="351" t="s">
        <v>458</v>
      </c>
      <c r="U35" s="352" t="s">
        <v>458</v>
      </c>
      <c r="V35" s="351" t="s">
        <v>458</v>
      </c>
      <c r="W35" s="352" t="s">
        <v>458</v>
      </c>
      <c r="X35" s="362" t="s">
        <v>459</v>
      </c>
      <c r="Y35" s="351" t="s">
        <v>458</v>
      </c>
      <c r="Z35" s="370" t="s">
        <v>459</v>
      </c>
      <c r="AA35" s="370" t="s">
        <v>459</v>
      </c>
      <c r="AB35" s="370" t="s">
        <v>459</v>
      </c>
      <c r="AD35" s="354" t="s">
        <v>461</v>
      </c>
      <c r="AE35" s="354" t="s">
        <v>461</v>
      </c>
      <c r="AF35" s="354" t="s">
        <v>461</v>
      </c>
      <c r="AG35" s="354" t="s">
        <v>461</v>
      </c>
      <c r="AH35" s="354" t="s">
        <v>461</v>
      </c>
      <c r="AI35" s="354" t="s">
        <v>461</v>
      </c>
      <c r="AJ35" s="354" t="s">
        <v>461</v>
      </c>
      <c r="AK35" s="354" t="s">
        <v>461</v>
      </c>
      <c r="AL35" s="358" t="s">
        <v>98</v>
      </c>
      <c r="AM35" s="358" t="s">
        <v>98</v>
      </c>
      <c r="AN35" s="358" t="s">
        <v>98</v>
      </c>
      <c r="AO35" s="358" t="s">
        <v>98</v>
      </c>
      <c r="AP35" s="358" t="s">
        <v>98</v>
      </c>
      <c r="AQ35" s="61"/>
      <c r="AR35" s="388" t="s">
        <v>458</v>
      </c>
      <c r="AS35" s="388" t="s">
        <v>458</v>
      </c>
      <c r="AT35" s="388" t="s">
        <v>458</v>
      </c>
      <c r="AU35" s="388" t="s">
        <v>458</v>
      </c>
      <c r="AV35" s="388" t="s">
        <v>458</v>
      </c>
      <c r="AW35" s="388" t="s">
        <v>458</v>
      </c>
      <c r="AX35" s="388" t="s">
        <v>458</v>
      </c>
      <c r="AY35" s="388" t="s">
        <v>458</v>
      </c>
      <c r="AZ35" s="374" t="s">
        <v>459</v>
      </c>
      <c r="BA35" s="374" t="s">
        <v>458</v>
      </c>
      <c r="BB35" s="411" t="s">
        <v>471</v>
      </c>
      <c r="BC35" s="374" t="s">
        <v>459</v>
      </c>
      <c r="BD35" s="374" t="s">
        <v>459</v>
      </c>
      <c r="BE35" s="61"/>
      <c r="BF35" s="388" t="s">
        <v>458</v>
      </c>
      <c r="BG35" s="388" t="s">
        <v>458</v>
      </c>
      <c r="BH35" s="388" t="s">
        <v>458</v>
      </c>
      <c r="BI35" s="388" t="s">
        <v>458</v>
      </c>
      <c r="BJ35" s="388" t="s">
        <v>458</v>
      </c>
      <c r="BK35" s="388" t="s">
        <v>458</v>
      </c>
      <c r="BL35" s="388" t="s">
        <v>458</v>
      </c>
      <c r="BM35" s="388" t="s">
        <v>458</v>
      </c>
      <c r="BN35" s="388" t="s">
        <v>458</v>
      </c>
      <c r="BO35" s="388" t="s">
        <v>458</v>
      </c>
      <c r="BP35" s="374" t="s">
        <v>459</v>
      </c>
      <c r="BQ35" s="374" t="s">
        <v>459</v>
      </c>
      <c r="BR35" s="374" t="s">
        <v>459</v>
      </c>
      <c r="BS35" s="27"/>
      <c r="BT35" s="354" t="s">
        <v>461</v>
      </c>
      <c r="BU35" s="354" t="s">
        <v>461</v>
      </c>
      <c r="BV35" s="354" t="s">
        <v>461</v>
      </c>
      <c r="BW35" s="354" t="s">
        <v>461</v>
      </c>
      <c r="BX35" s="354" t="s">
        <v>461</v>
      </c>
      <c r="BY35" s="354" t="s">
        <v>461</v>
      </c>
      <c r="BZ35" s="354" t="s">
        <v>461</v>
      </c>
      <c r="CA35" s="354" t="s">
        <v>461</v>
      </c>
      <c r="CB35" s="358" t="s">
        <v>98</v>
      </c>
      <c r="CC35" s="358" t="s">
        <v>98</v>
      </c>
      <c r="CD35" s="358" t="s">
        <v>98</v>
      </c>
      <c r="CE35" s="358" t="s">
        <v>98</v>
      </c>
      <c r="CF35" s="358" t="s">
        <v>98</v>
      </c>
      <c r="CG35" s="61"/>
      <c r="CH35" s="388" t="s">
        <v>458</v>
      </c>
      <c r="CI35" s="388" t="s">
        <v>458</v>
      </c>
      <c r="CJ35" s="388" t="s">
        <v>458</v>
      </c>
      <c r="CK35" s="388" t="s">
        <v>458</v>
      </c>
      <c r="CL35" s="388" t="s">
        <v>458</v>
      </c>
      <c r="CM35" s="388" t="s">
        <v>458</v>
      </c>
      <c r="CN35" s="388" t="s">
        <v>458</v>
      </c>
      <c r="CO35" s="388" t="s">
        <v>458</v>
      </c>
      <c r="CP35" s="388" t="s">
        <v>459</v>
      </c>
      <c r="CQ35" s="388" t="s">
        <v>458</v>
      </c>
      <c r="CR35" s="374" t="s">
        <v>459</v>
      </c>
      <c r="CS35" s="374" t="s">
        <v>459</v>
      </c>
      <c r="CT35" s="374" t="s">
        <v>459</v>
      </c>
      <c r="CU35" s="61"/>
      <c r="CV35" s="388" t="s">
        <v>458</v>
      </c>
      <c r="CW35" s="388" t="s">
        <v>458</v>
      </c>
      <c r="CX35" s="388" t="s">
        <v>458</v>
      </c>
      <c r="CY35" s="388" t="s">
        <v>458</v>
      </c>
      <c r="CZ35" s="388" t="s">
        <v>458</v>
      </c>
      <c r="DA35" s="388" t="s">
        <v>458</v>
      </c>
      <c r="DB35" s="388" t="s">
        <v>458</v>
      </c>
      <c r="DC35" s="388" t="s">
        <v>458</v>
      </c>
      <c r="DD35" s="398" t="s">
        <v>459</v>
      </c>
      <c r="DE35" s="388" t="s">
        <v>458</v>
      </c>
      <c r="DF35" s="398" t="s">
        <v>459</v>
      </c>
      <c r="DG35" s="398" t="s">
        <v>459</v>
      </c>
      <c r="DH35" s="399" t="s">
        <v>459</v>
      </c>
    </row>
    <row r="36" spans="1:112" ht="89.25">
      <c r="A36" s="708" t="s">
        <v>7</v>
      </c>
      <c r="B36" s="354" t="s">
        <v>461</v>
      </c>
      <c r="C36" s="354" t="s">
        <v>461</v>
      </c>
      <c r="D36" s="354" t="s">
        <v>461</v>
      </c>
      <c r="E36" s="354" t="s">
        <v>461</v>
      </c>
      <c r="F36" s="354" t="s">
        <v>461</v>
      </c>
      <c r="G36" s="354" t="s">
        <v>461</v>
      </c>
      <c r="H36" s="354" t="s">
        <v>461</v>
      </c>
      <c r="I36" s="354" t="s">
        <v>461</v>
      </c>
      <c r="J36" s="358" t="s">
        <v>98</v>
      </c>
      <c r="K36" s="358" t="s">
        <v>98</v>
      </c>
      <c r="L36" s="358" t="s">
        <v>98</v>
      </c>
      <c r="M36" s="358" t="s">
        <v>98</v>
      </c>
      <c r="N36" s="358" t="s">
        <v>98</v>
      </c>
      <c r="P36" s="349" t="s">
        <v>457</v>
      </c>
      <c r="Q36" s="349" t="s">
        <v>457</v>
      </c>
      <c r="R36" s="349" t="s">
        <v>457</v>
      </c>
      <c r="S36" s="349" t="s">
        <v>457</v>
      </c>
      <c r="T36" s="351" t="s">
        <v>458</v>
      </c>
      <c r="U36" s="352" t="s">
        <v>458</v>
      </c>
      <c r="V36" s="351" t="s">
        <v>458</v>
      </c>
      <c r="W36" s="352" t="s">
        <v>458</v>
      </c>
      <c r="X36" s="362" t="s">
        <v>459</v>
      </c>
      <c r="Y36" s="351" t="s">
        <v>458</v>
      </c>
      <c r="Z36" s="370" t="s">
        <v>459</v>
      </c>
      <c r="AA36" s="370" t="s">
        <v>459</v>
      </c>
      <c r="AB36" s="370" t="s">
        <v>459</v>
      </c>
      <c r="AD36" s="354" t="s">
        <v>461</v>
      </c>
      <c r="AE36" s="354" t="s">
        <v>461</v>
      </c>
      <c r="AF36" s="354" t="s">
        <v>461</v>
      </c>
      <c r="AG36" s="354" t="s">
        <v>461</v>
      </c>
      <c r="AH36" s="354" t="s">
        <v>461</v>
      </c>
      <c r="AI36" s="354" t="s">
        <v>461</v>
      </c>
      <c r="AJ36" s="354" t="s">
        <v>461</v>
      </c>
      <c r="AK36" s="354" t="s">
        <v>461</v>
      </c>
      <c r="AL36" s="358" t="s">
        <v>98</v>
      </c>
      <c r="AM36" s="358" t="s">
        <v>98</v>
      </c>
      <c r="AN36" s="358" t="s">
        <v>98</v>
      </c>
      <c r="AO36" s="358" t="s">
        <v>98</v>
      </c>
      <c r="AP36" s="358" t="s">
        <v>98</v>
      </c>
      <c r="AQ36" s="61"/>
      <c r="AR36" s="388" t="s">
        <v>458</v>
      </c>
      <c r="AS36" s="388" t="s">
        <v>458</v>
      </c>
      <c r="AT36" s="388" t="s">
        <v>458</v>
      </c>
      <c r="AU36" s="388" t="s">
        <v>458</v>
      </c>
      <c r="AV36" s="388" t="s">
        <v>458</v>
      </c>
      <c r="AW36" s="388" t="s">
        <v>458</v>
      </c>
      <c r="AX36" s="388" t="s">
        <v>458</v>
      </c>
      <c r="AY36" s="388" t="s">
        <v>458</v>
      </c>
      <c r="AZ36" s="374" t="s">
        <v>459</v>
      </c>
      <c r="BA36" s="374" t="s">
        <v>458</v>
      </c>
      <c r="BB36" s="411" t="s">
        <v>471</v>
      </c>
      <c r="BC36" s="374" t="s">
        <v>459</v>
      </c>
      <c r="BD36" s="374" t="s">
        <v>459</v>
      </c>
      <c r="BE36" s="61"/>
      <c r="BF36" s="388" t="s">
        <v>458</v>
      </c>
      <c r="BG36" s="388" t="s">
        <v>458</v>
      </c>
      <c r="BH36" s="388" t="s">
        <v>458</v>
      </c>
      <c r="BI36" s="388" t="s">
        <v>458</v>
      </c>
      <c r="BJ36" s="388" t="s">
        <v>458</v>
      </c>
      <c r="BK36" s="388" t="s">
        <v>458</v>
      </c>
      <c r="BL36" s="388" t="s">
        <v>458</v>
      </c>
      <c r="BM36" s="388" t="s">
        <v>458</v>
      </c>
      <c r="BN36" s="388" t="s">
        <v>458</v>
      </c>
      <c r="BO36" s="388" t="s">
        <v>458</v>
      </c>
      <c r="BP36" s="374" t="s">
        <v>459</v>
      </c>
      <c r="BQ36" s="374" t="s">
        <v>459</v>
      </c>
      <c r="BR36" s="374" t="s">
        <v>459</v>
      </c>
      <c r="BS36" s="27"/>
      <c r="BT36" s="354" t="s">
        <v>461</v>
      </c>
      <c r="BU36" s="354" t="s">
        <v>461</v>
      </c>
      <c r="BV36" s="354" t="s">
        <v>461</v>
      </c>
      <c r="BW36" s="354" t="s">
        <v>461</v>
      </c>
      <c r="BX36" s="354" t="s">
        <v>461</v>
      </c>
      <c r="BY36" s="354" t="s">
        <v>461</v>
      </c>
      <c r="BZ36" s="354" t="s">
        <v>461</v>
      </c>
      <c r="CA36" s="354" t="s">
        <v>461</v>
      </c>
      <c r="CB36" s="358" t="s">
        <v>98</v>
      </c>
      <c r="CC36" s="358" t="s">
        <v>98</v>
      </c>
      <c r="CD36" s="358" t="s">
        <v>98</v>
      </c>
      <c r="CE36" s="358" t="s">
        <v>98</v>
      </c>
      <c r="CF36" s="358" t="s">
        <v>98</v>
      </c>
      <c r="CG36" s="61"/>
      <c r="CH36" s="388" t="s">
        <v>458</v>
      </c>
      <c r="CI36" s="388" t="s">
        <v>458</v>
      </c>
      <c r="CJ36" s="388" t="s">
        <v>458</v>
      </c>
      <c r="CK36" s="388" t="s">
        <v>458</v>
      </c>
      <c r="CL36" s="388" t="s">
        <v>458</v>
      </c>
      <c r="CM36" s="388" t="s">
        <v>458</v>
      </c>
      <c r="CN36" s="388" t="s">
        <v>458</v>
      </c>
      <c r="CO36" s="388" t="s">
        <v>458</v>
      </c>
      <c r="CP36" s="388" t="s">
        <v>459</v>
      </c>
      <c r="CQ36" s="388" t="s">
        <v>458</v>
      </c>
      <c r="CR36" s="374" t="s">
        <v>459</v>
      </c>
      <c r="CS36" s="374" t="s">
        <v>459</v>
      </c>
      <c r="CT36" s="374" t="s">
        <v>459</v>
      </c>
      <c r="CU36" s="61"/>
      <c r="CV36" s="388" t="s">
        <v>458</v>
      </c>
      <c r="CW36" s="388" t="s">
        <v>458</v>
      </c>
      <c r="CX36" s="388" t="s">
        <v>458</v>
      </c>
      <c r="CY36" s="388" t="s">
        <v>458</v>
      </c>
      <c r="CZ36" s="388" t="s">
        <v>458</v>
      </c>
      <c r="DA36" s="388" t="s">
        <v>458</v>
      </c>
      <c r="DB36" s="388" t="s">
        <v>458</v>
      </c>
      <c r="DC36" s="388" t="s">
        <v>458</v>
      </c>
      <c r="DD36" s="398" t="s">
        <v>459</v>
      </c>
      <c r="DE36" s="388" t="s">
        <v>458</v>
      </c>
      <c r="DF36" s="398" t="s">
        <v>459</v>
      </c>
      <c r="DG36" s="398" t="s">
        <v>459</v>
      </c>
      <c r="DH36" s="399" t="s">
        <v>459</v>
      </c>
    </row>
    <row r="37" spans="1:112" ht="89.25">
      <c r="A37" s="708" t="s">
        <v>8</v>
      </c>
      <c r="B37" s="354" t="s">
        <v>461</v>
      </c>
      <c r="C37" s="354" t="s">
        <v>461</v>
      </c>
      <c r="D37" s="354" t="s">
        <v>461</v>
      </c>
      <c r="E37" s="354" t="s">
        <v>461</v>
      </c>
      <c r="F37" s="354" t="s">
        <v>461</v>
      </c>
      <c r="G37" s="354" t="s">
        <v>461</v>
      </c>
      <c r="H37" s="354" t="s">
        <v>461</v>
      </c>
      <c r="I37" s="354" t="s">
        <v>461</v>
      </c>
      <c r="J37" s="358" t="s">
        <v>98</v>
      </c>
      <c r="K37" s="358" t="s">
        <v>98</v>
      </c>
      <c r="L37" s="358" t="s">
        <v>98</v>
      </c>
      <c r="M37" s="358" t="s">
        <v>98</v>
      </c>
      <c r="N37" s="358" t="s">
        <v>98</v>
      </c>
      <c r="P37" s="349" t="s">
        <v>457</v>
      </c>
      <c r="Q37" s="349" t="s">
        <v>457</v>
      </c>
      <c r="R37" s="349" t="s">
        <v>457</v>
      </c>
      <c r="S37" s="349" t="s">
        <v>457</v>
      </c>
      <c r="T37" s="351" t="s">
        <v>458</v>
      </c>
      <c r="U37" s="352" t="s">
        <v>458</v>
      </c>
      <c r="V37" s="351" t="s">
        <v>458</v>
      </c>
      <c r="W37" s="352" t="s">
        <v>458</v>
      </c>
      <c r="X37" s="362" t="s">
        <v>459</v>
      </c>
      <c r="Y37" s="351" t="s">
        <v>458</v>
      </c>
      <c r="Z37" s="370" t="s">
        <v>459</v>
      </c>
      <c r="AA37" s="370" t="s">
        <v>459</v>
      </c>
      <c r="AB37" s="370" t="s">
        <v>459</v>
      </c>
      <c r="AD37" s="354" t="s">
        <v>461</v>
      </c>
      <c r="AE37" s="354" t="s">
        <v>461</v>
      </c>
      <c r="AF37" s="354" t="s">
        <v>461</v>
      </c>
      <c r="AG37" s="354" t="s">
        <v>461</v>
      </c>
      <c r="AH37" s="354" t="s">
        <v>461</v>
      </c>
      <c r="AI37" s="354" t="s">
        <v>461</v>
      </c>
      <c r="AJ37" s="354" t="s">
        <v>461</v>
      </c>
      <c r="AK37" s="354" t="s">
        <v>461</v>
      </c>
      <c r="AL37" s="358" t="s">
        <v>98</v>
      </c>
      <c r="AM37" s="358" t="s">
        <v>98</v>
      </c>
      <c r="AN37" s="358" t="s">
        <v>98</v>
      </c>
      <c r="AO37" s="358" t="s">
        <v>98</v>
      </c>
      <c r="AP37" s="358" t="s">
        <v>98</v>
      </c>
      <c r="AQ37" s="61"/>
      <c r="AR37" s="388" t="s">
        <v>458</v>
      </c>
      <c r="AS37" s="388" t="s">
        <v>458</v>
      </c>
      <c r="AT37" s="388" t="s">
        <v>458</v>
      </c>
      <c r="AU37" s="388" t="s">
        <v>458</v>
      </c>
      <c r="AV37" s="388" t="s">
        <v>458</v>
      </c>
      <c r="AW37" s="388" t="s">
        <v>458</v>
      </c>
      <c r="AX37" s="388" t="s">
        <v>458</v>
      </c>
      <c r="AY37" s="388" t="s">
        <v>458</v>
      </c>
      <c r="AZ37" s="374" t="s">
        <v>459</v>
      </c>
      <c r="BA37" s="374" t="s">
        <v>458</v>
      </c>
      <c r="BB37" s="411" t="s">
        <v>471</v>
      </c>
      <c r="BC37" s="374" t="s">
        <v>459</v>
      </c>
      <c r="BD37" s="374" t="s">
        <v>459</v>
      </c>
      <c r="BE37" s="61"/>
      <c r="BF37" s="388" t="s">
        <v>458</v>
      </c>
      <c r="BG37" s="388" t="s">
        <v>458</v>
      </c>
      <c r="BH37" s="388" t="s">
        <v>458</v>
      </c>
      <c r="BI37" s="388" t="s">
        <v>458</v>
      </c>
      <c r="BJ37" s="388" t="s">
        <v>458</v>
      </c>
      <c r="BK37" s="388" t="s">
        <v>458</v>
      </c>
      <c r="BL37" s="388" t="s">
        <v>458</v>
      </c>
      <c r="BM37" s="388" t="s">
        <v>458</v>
      </c>
      <c r="BN37" s="388" t="s">
        <v>458</v>
      </c>
      <c r="BO37" s="388" t="s">
        <v>458</v>
      </c>
      <c r="BP37" s="374" t="s">
        <v>459</v>
      </c>
      <c r="BQ37" s="374" t="s">
        <v>459</v>
      </c>
      <c r="BR37" s="374" t="s">
        <v>459</v>
      </c>
      <c r="BS37" s="27"/>
      <c r="BT37" s="354" t="s">
        <v>461</v>
      </c>
      <c r="BU37" s="354" t="s">
        <v>461</v>
      </c>
      <c r="BV37" s="354" t="s">
        <v>461</v>
      </c>
      <c r="BW37" s="354" t="s">
        <v>461</v>
      </c>
      <c r="BX37" s="354" t="s">
        <v>461</v>
      </c>
      <c r="BY37" s="354" t="s">
        <v>461</v>
      </c>
      <c r="BZ37" s="354" t="s">
        <v>461</v>
      </c>
      <c r="CA37" s="354" t="s">
        <v>461</v>
      </c>
      <c r="CB37" s="358" t="s">
        <v>98</v>
      </c>
      <c r="CC37" s="358" t="s">
        <v>98</v>
      </c>
      <c r="CD37" s="358" t="s">
        <v>98</v>
      </c>
      <c r="CE37" s="358" t="s">
        <v>98</v>
      </c>
      <c r="CF37" s="358" t="s">
        <v>98</v>
      </c>
      <c r="CG37" s="61"/>
      <c r="CH37" s="388" t="s">
        <v>458</v>
      </c>
      <c r="CI37" s="388" t="s">
        <v>458</v>
      </c>
      <c r="CJ37" s="388" t="s">
        <v>458</v>
      </c>
      <c r="CK37" s="388" t="s">
        <v>458</v>
      </c>
      <c r="CL37" s="388" t="s">
        <v>458</v>
      </c>
      <c r="CM37" s="388" t="s">
        <v>458</v>
      </c>
      <c r="CN37" s="388" t="s">
        <v>458</v>
      </c>
      <c r="CO37" s="388" t="s">
        <v>458</v>
      </c>
      <c r="CP37" s="388" t="s">
        <v>459</v>
      </c>
      <c r="CQ37" s="388" t="s">
        <v>458</v>
      </c>
      <c r="CR37" s="374" t="s">
        <v>459</v>
      </c>
      <c r="CS37" s="374" t="s">
        <v>459</v>
      </c>
      <c r="CT37" s="374" t="s">
        <v>459</v>
      </c>
      <c r="CU37" s="61"/>
      <c r="CV37" s="388" t="s">
        <v>458</v>
      </c>
      <c r="CW37" s="388" t="s">
        <v>458</v>
      </c>
      <c r="CX37" s="388" t="s">
        <v>458</v>
      </c>
      <c r="CY37" s="388" t="s">
        <v>458</v>
      </c>
      <c r="CZ37" s="388" t="s">
        <v>458</v>
      </c>
      <c r="DA37" s="388" t="s">
        <v>458</v>
      </c>
      <c r="DB37" s="388" t="s">
        <v>458</v>
      </c>
      <c r="DC37" s="388" t="s">
        <v>458</v>
      </c>
      <c r="DD37" s="398" t="s">
        <v>459</v>
      </c>
      <c r="DE37" s="388" t="s">
        <v>458</v>
      </c>
      <c r="DF37" s="398" t="s">
        <v>459</v>
      </c>
      <c r="DG37" s="398" t="s">
        <v>459</v>
      </c>
      <c r="DH37" s="399" t="s">
        <v>459</v>
      </c>
    </row>
    <row r="38" spans="1:112" ht="89.25">
      <c r="A38" s="708" t="s">
        <v>9</v>
      </c>
      <c r="B38" s="354" t="s">
        <v>461</v>
      </c>
      <c r="C38" s="354" t="s">
        <v>461</v>
      </c>
      <c r="D38" s="354" t="s">
        <v>461</v>
      </c>
      <c r="E38" s="354" t="s">
        <v>461</v>
      </c>
      <c r="F38" s="354" t="s">
        <v>461</v>
      </c>
      <c r="G38" s="354" t="s">
        <v>461</v>
      </c>
      <c r="H38" s="354" t="s">
        <v>461</v>
      </c>
      <c r="I38" s="354" t="s">
        <v>461</v>
      </c>
      <c r="J38" s="358" t="s">
        <v>98</v>
      </c>
      <c r="K38" s="358" t="s">
        <v>98</v>
      </c>
      <c r="L38" s="358" t="s">
        <v>98</v>
      </c>
      <c r="M38" s="358" t="s">
        <v>98</v>
      </c>
      <c r="N38" s="358" t="s">
        <v>98</v>
      </c>
      <c r="P38" s="349" t="s">
        <v>457</v>
      </c>
      <c r="Q38" s="349" t="s">
        <v>457</v>
      </c>
      <c r="R38" s="349" t="s">
        <v>457</v>
      </c>
      <c r="S38" s="349" t="s">
        <v>457</v>
      </c>
      <c r="T38" s="351" t="s">
        <v>458</v>
      </c>
      <c r="U38" s="352" t="s">
        <v>458</v>
      </c>
      <c r="V38" s="351" t="s">
        <v>458</v>
      </c>
      <c r="W38" s="352" t="s">
        <v>458</v>
      </c>
      <c r="X38" s="362" t="s">
        <v>459</v>
      </c>
      <c r="Y38" s="351" t="s">
        <v>458</v>
      </c>
      <c r="Z38" s="370" t="s">
        <v>459</v>
      </c>
      <c r="AA38" s="370" t="s">
        <v>459</v>
      </c>
      <c r="AB38" s="370" t="s">
        <v>459</v>
      </c>
      <c r="AD38" s="354" t="s">
        <v>461</v>
      </c>
      <c r="AE38" s="354" t="s">
        <v>461</v>
      </c>
      <c r="AF38" s="354" t="s">
        <v>461</v>
      </c>
      <c r="AG38" s="354" t="s">
        <v>461</v>
      </c>
      <c r="AH38" s="354" t="s">
        <v>461</v>
      </c>
      <c r="AI38" s="354" t="s">
        <v>461</v>
      </c>
      <c r="AJ38" s="354" t="s">
        <v>461</v>
      </c>
      <c r="AK38" s="354" t="s">
        <v>461</v>
      </c>
      <c r="AL38" s="358" t="s">
        <v>98</v>
      </c>
      <c r="AM38" s="358" t="s">
        <v>98</v>
      </c>
      <c r="AN38" s="358" t="s">
        <v>98</v>
      </c>
      <c r="AO38" s="358" t="s">
        <v>98</v>
      </c>
      <c r="AP38" s="358" t="s">
        <v>98</v>
      </c>
      <c r="AQ38" s="387"/>
      <c r="AR38" s="388" t="s">
        <v>458</v>
      </c>
      <c r="AS38" s="388" t="s">
        <v>458</v>
      </c>
      <c r="AT38" s="388" t="s">
        <v>458</v>
      </c>
      <c r="AU38" s="388" t="s">
        <v>458</v>
      </c>
      <c r="AV38" s="388" t="s">
        <v>458</v>
      </c>
      <c r="AW38" s="388" t="s">
        <v>458</v>
      </c>
      <c r="AX38" s="388" t="s">
        <v>458</v>
      </c>
      <c r="AY38" s="388" t="s">
        <v>458</v>
      </c>
      <c r="AZ38" s="374" t="s">
        <v>459</v>
      </c>
      <c r="BA38" s="374" t="s">
        <v>458</v>
      </c>
      <c r="BB38" s="411" t="s">
        <v>471</v>
      </c>
      <c r="BC38" s="374" t="s">
        <v>459</v>
      </c>
      <c r="BD38" s="374" t="s">
        <v>459</v>
      </c>
      <c r="BE38" s="387"/>
      <c r="BF38" s="388" t="s">
        <v>458</v>
      </c>
      <c r="BG38" s="388" t="s">
        <v>458</v>
      </c>
      <c r="BH38" s="388" t="s">
        <v>458</v>
      </c>
      <c r="BI38" s="388" t="s">
        <v>458</v>
      </c>
      <c r="BJ38" s="388" t="s">
        <v>458</v>
      </c>
      <c r="BK38" s="388" t="s">
        <v>458</v>
      </c>
      <c r="BL38" s="388" t="s">
        <v>458</v>
      </c>
      <c r="BM38" s="388" t="s">
        <v>458</v>
      </c>
      <c r="BN38" s="388" t="s">
        <v>458</v>
      </c>
      <c r="BO38" s="388" t="s">
        <v>458</v>
      </c>
      <c r="BP38" s="374" t="s">
        <v>459</v>
      </c>
      <c r="BQ38" s="374" t="s">
        <v>459</v>
      </c>
      <c r="BR38" s="374" t="s">
        <v>459</v>
      </c>
      <c r="BS38" s="28"/>
      <c r="BT38" s="354" t="s">
        <v>461</v>
      </c>
      <c r="BU38" s="354" t="s">
        <v>461</v>
      </c>
      <c r="BV38" s="354" t="s">
        <v>461</v>
      </c>
      <c r="BW38" s="354" t="s">
        <v>461</v>
      </c>
      <c r="BX38" s="354" t="s">
        <v>461</v>
      </c>
      <c r="BY38" s="354" t="s">
        <v>461</v>
      </c>
      <c r="BZ38" s="354" t="s">
        <v>461</v>
      </c>
      <c r="CA38" s="354" t="s">
        <v>461</v>
      </c>
      <c r="CB38" s="358" t="s">
        <v>98</v>
      </c>
      <c r="CC38" s="358" t="s">
        <v>98</v>
      </c>
      <c r="CD38" s="358" t="s">
        <v>98</v>
      </c>
      <c r="CE38" s="358" t="s">
        <v>98</v>
      </c>
      <c r="CF38" s="358" t="s">
        <v>98</v>
      </c>
      <c r="CG38" s="387"/>
      <c r="CH38" s="388" t="s">
        <v>458</v>
      </c>
      <c r="CI38" s="388" t="s">
        <v>458</v>
      </c>
      <c r="CJ38" s="388" t="s">
        <v>458</v>
      </c>
      <c r="CK38" s="388" t="s">
        <v>458</v>
      </c>
      <c r="CL38" s="388" t="s">
        <v>458</v>
      </c>
      <c r="CM38" s="388" t="s">
        <v>458</v>
      </c>
      <c r="CN38" s="388" t="s">
        <v>458</v>
      </c>
      <c r="CO38" s="388" t="s">
        <v>458</v>
      </c>
      <c r="CP38" s="388" t="s">
        <v>459</v>
      </c>
      <c r="CQ38" s="388" t="s">
        <v>458</v>
      </c>
      <c r="CR38" s="374" t="s">
        <v>459</v>
      </c>
      <c r="CS38" s="374" t="s">
        <v>459</v>
      </c>
      <c r="CT38" s="374" t="s">
        <v>459</v>
      </c>
      <c r="CU38" s="387"/>
      <c r="CV38" s="388" t="s">
        <v>458</v>
      </c>
      <c r="CW38" s="388" t="s">
        <v>458</v>
      </c>
      <c r="CX38" s="388" t="s">
        <v>458</v>
      </c>
      <c r="CY38" s="388" t="s">
        <v>458</v>
      </c>
      <c r="CZ38" s="388" t="s">
        <v>458</v>
      </c>
      <c r="DA38" s="388" t="s">
        <v>458</v>
      </c>
      <c r="DB38" s="388" t="s">
        <v>458</v>
      </c>
      <c r="DC38" s="388" t="s">
        <v>458</v>
      </c>
      <c r="DD38" s="398" t="s">
        <v>459</v>
      </c>
      <c r="DE38" s="388" t="s">
        <v>458</v>
      </c>
      <c r="DF38" s="398" t="s">
        <v>459</v>
      </c>
      <c r="DG38" s="398" t="s">
        <v>459</v>
      </c>
      <c r="DH38" s="399" t="s">
        <v>459</v>
      </c>
    </row>
    <row r="39" spans="1:112" ht="89.25">
      <c r="A39" s="708" t="s">
        <v>10</v>
      </c>
      <c r="B39" s="354" t="s">
        <v>461</v>
      </c>
      <c r="C39" s="354" t="s">
        <v>461</v>
      </c>
      <c r="D39" s="354" t="s">
        <v>461</v>
      </c>
      <c r="E39" s="354" t="s">
        <v>461</v>
      </c>
      <c r="F39" s="354" t="s">
        <v>461</v>
      </c>
      <c r="G39" s="354" t="s">
        <v>461</v>
      </c>
      <c r="H39" s="354" t="s">
        <v>461</v>
      </c>
      <c r="I39" s="354" t="s">
        <v>461</v>
      </c>
      <c r="J39" s="358" t="s">
        <v>98</v>
      </c>
      <c r="K39" s="358" t="s">
        <v>98</v>
      </c>
      <c r="L39" s="358" t="s">
        <v>98</v>
      </c>
      <c r="M39" s="358" t="s">
        <v>98</v>
      </c>
      <c r="N39" s="358" t="s">
        <v>98</v>
      </c>
      <c r="P39" s="349" t="s">
        <v>457</v>
      </c>
      <c r="Q39" s="349" t="s">
        <v>457</v>
      </c>
      <c r="R39" s="349" t="s">
        <v>457</v>
      </c>
      <c r="S39" s="349" t="s">
        <v>457</v>
      </c>
      <c r="T39" s="351" t="s">
        <v>458</v>
      </c>
      <c r="U39" s="352" t="s">
        <v>458</v>
      </c>
      <c r="V39" s="351" t="s">
        <v>458</v>
      </c>
      <c r="W39" s="352" t="s">
        <v>458</v>
      </c>
      <c r="X39" s="362" t="s">
        <v>459</v>
      </c>
      <c r="Y39" s="351" t="s">
        <v>458</v>
      </c>
      <c r="Z39" s="370" t="s">
        <v>459</v>
      </c>
      <c r="AA39" s="370" t="s">
        <v>459</v>
      </c>
      <c r="AB39" s="370" t="s">
        <v>459</v>
      </c>
      <c r="AD39" s="354" t="s">
        <v>461</v>
      </c>
      <c r="AE39" s="354" t="s">
        <v>461</v>
      </c>
      <c r="AF39" s="354" t="s">
        <v>461</v>
      </c>
      <c r="AG39" s="354" t="s">
        <v>461</v>
      </c>
      <c r="AH39" s="354" t="s">
        <v>461</v>
      </c>
      <c r="AI39" s="354" t="s">
        <v>461</v>
      </c>
      <c r="AJ39" s="354" t="s">
        <v>461</v>
      </c>
      <c r="AK39" s="354" t="s">
        <v>461</v>
      </c>
      <c r="AL39" s="358" t="s">
        <v>98</v>
      </c>
      <c r="AM39" s="358" t="s">
        <v>98</v>
      </c>
      <c r="AN39" s="358" t="s">
        <v>98</v>
      </c>
      <c r="AO39" s="358" t="s">
        <v>98</v>
      </c>
      <c r="AP39" s="358" t="s">
        <v>98</v>
      </c>
      <c r="AQ39" s="61"/>
      <c r="AR39" s="388" t="s">
        <v>458</v>
      </c>
      <c r="AS39" s="388" t="s">
        <v>458</v>
      </c>
      <c r="AT39" s="388" t="s">
        <v>458</v>
      </c>
      <c r="AU39" s="388" t="s">
        <v>458</v>
      </c>
      <c r="AV39" s="388" t="s">
        <v>458</v>
      </c>
      <c r="AW39" s="388" t="s">
        <v>458</v>
      </c>
      <c r="AX39" s="388" t="s">
        <v>458</v>
      </c>
      <c r="AY39" s="388" t="s">
        <v>458</v>
      </c>
      <c r="AZ39" s="374" t="s">
        <v>459</v>
      </c>
      <c r="BA39" s="374" t="s">
        <v>458</v>
      </c>
      <c r="BB39" s="411" t="s">
        <v>471</v>
      </c>
      <c r="BC39" s="374" t="s">
        <v>459</v>
      </c>
      <c r="BD39" s="374" t="s">
        <v>459</v>
      </c>
      <c r="BE39" s="61"/>
      <c r="BF39" s="388" t="s">
        <v>458</v>
      </c>
      <c r="BG39" s="388" t="s">
        <v>458</v>
      </c>
      <c r="BH39" s="388" t="s">
        <v>458</v>
      </c>
      <c r="BI39" s="388" t="s">
        <v>458</v>
      </c>
      <c r="BJ39" s="388" t="s">
        <v>458</v>
      </c>
      <c r="BK39" s="388" t="s">
        <v>458</v>
      </c>
      <c r="BL39" s="388" t="s">
        <v>458</v>
      </c>
      <c r="BM39" s="388" t="s">
        <v>458</v>
      </c>
      <c r="BN39" s="388" t="s">
        <v>458</v>
      </c>
      <c r="BO39" s="388" t="s">
        <v>458</v>
      </c>
      <c r="BP39" s="374" t="s">
        <v>459</v>
      </c>
      <c r="BQ39" s="374" t="s">
        <v>459</v>
      </c>
      <c r="BR39" s="374" t="s">
        <v>459</v>
      </c>
      <c r="BS39" s="27"/>
      <c r="BT39" s="354" t="s">
        <v>461</v>
      </c>
      <c r="BU39" s="354" t="s">
        <v>461</v>
      </c>
      <c r="BV39" s="354" t="s">
        <v>461</v>
      </c>
      <c r="BW39" s="354" t="s">
        <v>461</v>
      </c>
      <c r="BX39" s="354" t="s">
        <v>461</v>
      </c>
      <c r="BY39" s="354" t="s">
        <v>461</v>
      </c>
      <c r="BZ39" s="354" t="s">
        <v>461</v>
      </c>
      <c r="CA39" s="354" t="s">
        <v>461</v>
      </c>
      <c r="CB39" s="358" t="s">
        <v>98</v>
      </c>
      <c r="CC39" s="358" t="s">
        <v>98</v>
      </c>
      <c r="CD39" s="358" t="s">
        <v>98</v>
      </c>
      <c r="CE39" s="358" t="s">
        <v>98</v>
      </c>
      <c r="CF39" s="358" t="s">
        <v>98</v>
      </c>
      <c r="CG39" s="61"/>
      <c r="CH39" s="388" t="s">
        <v>458</v>
      </c>
      <c r="CI39" s="388" t="s">
        <v>458</v>
      </c>
      <c r="CJ39" s="388" t="s">
        <v>458</v>
      </c>
      <c r="CK39" s="388" t="s">
        <v>458</v>
      </c>
      <c r="CL39" s="388" t="s">
        <v>458</v>
      </c>
      <c r="CM39" s="388" t="s">
        <v>458</v>
      </c>
      <c r="CN39" s="388" t="s">
        <v>458</v>
      </c>
      <c r="CO39" s="388" t="s">
        <v>458</v>
      </c>
      <c r="CP39" s="388" t="s">
        <v>459</v>
      </c>
      <c r="CQ39" s="388" t="s">
        <v>458</v>
      </c>
      <c r="CR39" s="374" t="s">
        <v>459</v>
      </c>
      <c r="CS39" s="374" t="s">
        <v>459</v>
      </c>
      <c r="CT39" s="374" t="s">
        <v>459</v>
      </c>
      <c r="CU39" s="61"/>
      <c r="CV39" s="388" t="s">
        <v>458</v>
      </c>
      <c r="CW39" s="388" t="s">
        <v>458</v>
      </c>
      <c r="CX39" s="388" t="s">
        <v>458</v>
      </c>
      <c r="CY39" s="388" t="s">
        <v>458</v>
      </c>
      <c r="CZ39" s="388" t="s">
        <v>458</v>
      </c>
      <c r="DA39" s="388" t="s">
        <v>458</v>
      </c>
      <c r="DB39" s="388" t="s">
        <v>458</v>
      </c>
      <c r="DC39" s="388" t="s">
        <v>458</v>
      </c>
      <c r="DD39" s="398" t="s">
        <v>459</v>
      </c>
      <c r="DE39" s="388" t="s">
        <v>458</v>
      </c>
      <c r="DF39" s="398" t="s">
        <v>459</v>
      </c>
      <c r="DG39" s="398" t="s">
        <v>459</v>
      </c>
      <c r="DH39" s="399" t="s">
        <v>459</v>
      </c>
    </row>
    <row r="40" spans="1:112" ht="89.25">
      <c r="A40" s="708" t="s">
        <v>68</v>
      </c>
      <c r="B40" s="354" t="s">
        <v>461</v>
      </c>
      <c r="C40" s="354" t="s">
        <v>461</v>
      </c>
      <c r="D40" s="354" t="s">
        <v>461</v>
      </c>
      <c r="E40" s="354" t="s">
        <v>461</v>
      </c>
      <c r="F40" s="354" t="s">
        <v>461</v>
      </c>
      <c r="G40" s="354" t="s">
        <v>461</v>
      </c>
      <c r="H40" s="354" t="s">
        <v>461</v>
      </c>
      <c r="I40" s="354" t="s">
        <v>461</v>
      </c>
      <c r="J40" s="358" t="s">
        <v>98</v>
      </c>
      <c r="K40" s="358" t="s">
        <v>98</v>
      </c>
      <c r="L40" s="358" t="s">
        <v>98</v>
      </c>
      <c r="M40" s="358" t="s">
        <v>98</v>
      </c>
      <c r="N40" s="358" t="s">
        <v>98</v>
      </c>
      <c r="P40" s="349" t="s">
        <v>457</v>
      </c>
      <c r="Q40" s="349" t="s">
        <v>457</v>
      </c>
      <c r="R40" s="349" t="s">
        <v>457</v>
      </c>
      <c r="S40" s="349" t="s">
        <v>457</v>
      </c>
      <c r="T40" s="351" t="s">
        <v>458</v>
      </c>
      <c r="U40" s="352" t="s">
        <v>458</v>
      </c>
      <c r="V40" s="351" t="s">
        <v>458</v>
      </c>
      <c r="W40" s="352" t="s">
        <v>458</v>
      </c>
      <c r="X40" s="362" t="s">
        <v>459</v>
      </c>
      <c r="Y40" s="351" t="s">
        <v>458</v>
      </c>
      <c r="Z40" s="370" t="s">
        <v>459</v>
      </c>
      <c r="AA40" s="370" t="s">
        <v>459</v>
      </c>
      <c r="AB40" s="370" t="s">
        <v>459</v>
      </c>
      <c r="AD40" s="354" t="s">
        <v>461</v>
      </c>
      <c r="AE40" s="354" t="s">
        <v>461</v>
      </c>
      <c r="AF40" s="354" t="s">
        <v>461</v>
      </c>
      <c r="AG40" s="354" t="s">
        <v>461</v>
      </c>
      <c r="AH40" s="354" t="s">
        <v>461</v>
      </c>
      <c r="AI40" s="354" t="s">
        <v>461</v>
      </c>
      <c r="AJ40" s="354" t="s">
        <v>461</v>
      </c>
      <c r="AK40" s="354" t="s">
        <v>461</v>
      </c>
      <c r="AL40" s="358" t="s">
        <v>98</v>
      </c>
      <c r="AM40" s="358" t="s">
        <v>98</v>
      </c>
      <c r="AN40" s="358" t="s">
        <v>98</v>
      </c>
      <c r="AO40" s="358" t="s">
        <v>98</v>
      </c>
      <c r="AP40" s="358" t="s">
        <v>98</v>
      </c>
      <c r="AQ40" s="61"/>
      <c r="AR40" s="388" t="s">
        <v>458</v>
      </c>
      <c r="AS40" s="388" t="s">
        <v>458</v>
      </c>
      <c r="AT40" s="388" t="s">
        <v>458</v>
      </c>
      <c r="AU40" s="388" t="s">
        <v>458</v>
      </c>
      <c r="AV40" s="388" t="s">
        <v>458</v>
      </c>
      <c r="AW40" s="388" t="s">
        <v>458</v>
      </c>
      <c r="AX40" s="388" t="s">
        <v>458</v>
      </c>
      <c r="AY40" s="388" t="s">
        <v>458</v>
      </c>
      <c r="AZ40" s="374" t="s">
        <v>459</v>
      </c>
      <c r="BA40" s="374" t="s">
        <v>458</v>
      </c>
      <c r="BB40" s="411" t="s">
        <v>471</v>
      </c>
      <c r="BC40" s="374" t="s">
        <v>459</v>
      </c>
      <c r="BD40" s="374" t="s">
        <v>459</v>
      </c>
      <c r="BE40" s="61"/>
      <c r="BF40" s="388" t="s">
        <v>458</v>
      </c>
      <c r="BG40" s="388" t="s">
        <v>458</v>
      </c>
      <c r="BH40" s="388" t="s">
        <v>458</v>
      </c>
      <c r="BI40" s="388" t="s">
        <v>458</v>
      </c>
      <c r="BJ40" s="388" t="s">
        <v>458</v>
      </c>
      <c r="BK40" s="388" t="s">
        <v>458</v>
      </c>
      <c r="BL40" s="388" t="s">
        <v>458</v>
      </c>
      <c r="BM40" s="388" t="s">
        <v>458</v>
      </c>
      <c r="BN40" s="388" t="s">
        <v>458</v>
      </c>
      <c r="BO40" s="388" t="s">
        <v>458</v>
      </c>
      <c r="BP40" s="374" t="s">
        <v>459</v>
      </c>
      <c r="BQ40" s="374" t="s">
        <v>459</v>
      </c>
      <c r="BR40" s="374" t="s">
        <v>459</v>
      </c>
      <c r="BS40" s="27"/>
      <c r="BT40" s="354" t="s">
        <v>461</v>
      </c>
      <c r="BU40" s="354" t="s">
        <v>461</v>
      </c>
      <c r="BV40" s="354" t="s">
        <v>461</v>
      </c>
      <c r="BW40" s="354" t="s">
        <v>461</v>
      </c>
      <c r="BX40" s="354" t="s">
        <v>461</v>
      </c>
      <c r="BY40" s="354" t="s">
        <v>461</v>
      </c>
      <c r="BZ40" s="354" t="s">
        <v>461</v>
      </c>
      <c r="CA40" s="354" t="s">
        <v>461</v>
      </c>
      <c r="CB40" s="358" t="s">
        <v>98</v>
      </c>
      <c r="CC40" s="358" t="s">
        <v>98</v>
      </c>
      <c r="CD40" s="358" t="s">
        <v>98</v>
      </c>
      <c r="CE40" s="358" t="s">
        <v>98</v>
      </c>
      <c r="CF40" s="358" t="s">
        <v>98</v>
      </c>
      <c r="CG40" s="61"/>
      <c r="CH40" s="388" t="s">
        <v>458</v>
      </c>
      <c r="CI40" s="388" t="s">
        <v>458</v>
      </c>
      <c r="CJ40" s="388" t="s">
        <v>458</v>
      </c>
      <c r="CK40" s="388" t="s">
        <v>458</v>
      </c>
      <c r="CL40" s="388" t="s">
        <v>458</v>
      </c>
      <c r="CM40" s="388" t="s">
        <v>458</v>
      </c>
      <c r="CN40" s="388" t="s">
        <v>458</v>
      </c>
      <c r="CO40" s="388" t="s">
        <v>458</v>
      </c>
      <c r="CP40" s="388" t="s">
        <v>459</v>
      </c>
      <c r="CQ40" s="388" t="s">
        <v>458</v>
      </c>
      <c r="CR40" s="374" t="s">
        <v>459</v>
      </c>
      <c r="CS40" s="374" t="s">
        <v>459</v>
      </c>
      <c r="CT40" s="374" t="s">
        <v>459</v>
      </c>
      <c r="CU40" s="61"/>
      <c r="CV40" s="388" t="s">
        <v>458</v>
      </c>
      <c r="CW40" s="388" t="s">
        <v>458</v>
      </c>
      <c r="CX40" s="388" t="s">
        <v>458</v>
      </c>
      <c r="CY40" s="388" t="s">
        <v>458</v>
      </c>
      <c r="CZ40" s="388" t="s">
        <v>458</v>
      </c>
      <c r="DA40" s="388" t="s">
        <v>458</v>
      </c>
      <c r="DB40" s="388" t="s">
        <v>458</v>
      </c>
      <c r="DC40" s="388" t="s">
        <v>458</v>
      </c>
      <c r="DD40" s="398" t="s">
        <v>459</v>
      </c>
      <c r="DE40" s="388" t="s">
        <v>458</v>
      </c>
      <c r="DF40" s="398" t="s">
        <v>459</v>
      </c>
      <c r="DG40" s="398" t="s">
        <v>459</v>
      </c>
      <c r="DH40" s="399" t="s">
        <v>459</v>
      </c>
    </row>
    <row r="41" spans="1:112" ht="89.25">
      <c r="A41" s="708" t="s">
        <v>11</v>
      </c>
      <c r="B41" s="354" t="s">
        <v>461</v>
      </c>
      <c r="C41" s="354" t="s">
        <v>461</v>
      </c>
      <c r="D41" s="354" t="s">
        <v>461</v>
      </c>
      <c r="E41" s="354" t="s">
        <v>461</v>
      </c>
      <c r="F41" s="354" t="s">
        <v>461</v>
      </c>
      <c r="G41" s="354" t="s">
        <v>461</v>
      </c>
      <c r="H41" s="354" t="s">
        <v>461</v>
      </c>
      <c r="I41" s="354" t="s">
        <v>461</v>
      </c>
      <c r="J41" s="358" t="s">
        <v>98</v>
      </c>
      <c r="K41" s="358" t="s">
        <v>98</v>
      </c>
      <c r="L41" s="358" t="s">
        <v>98</v>
      </c>
      <c r="M41" s="358" t="s">
        <v>98</v>
      </c>
      <c r="N41" s="358" t="s">
        <v>98</v>
      </c>
      <c r="P41" s="349" t="s">
        <v>457</v>
      </c>
      <c r="Q41" s="349" t="s">
        <v>457</v>
      </c>
      <c r="R41" s="349" t="s">
        <v>457</v>
      </c>
      <c r="S41" s="349" t="s">
        <v>457</v>
      </c>
      <c r="T41" s="351" t="s">
        <v>458</v>
      </c>
      <c r="U41" s="352" t="s">
        <v>458</v>
      </c>
      <c r="V41" s="351" t="s">
        <v>458</v>
      </c>
      <c r="W41" s="352" t="s">
        <v>458</v>
      </c>
      <c r="X41" s="362" t="s">
        <v>459</v>
      </c>
      <c r="Y41" s="351" t="s">
        <v>458</v>
      </c>
      <c r="Z41" s="370" t="s">
        <v>459</v>
      </c>
      <c r="AA41" s="370" t="s">
        <v>459</v>
      </c>
      <c r="AB41" s="370" t="s">
        <v>459</v>
      </c>
      <c r="AD41" s="354" t="s">
        <v>461</v>
      </c>
      <c r="AE41" s="354" t="s">
        <v>461</v>
      </c>
      <c r="AF41" s="354" t="s">
        <v>461</v>
      </c>
      <c r="AG41" s="354" t="s">
        <v>461</v>
      </c>
      <c r="AH41" s="354" t="s">
        <v>461</v>
      </c>
      <c r="AI41" s="354" t="s">
        <v>461</v>
      </c>
      <c r="AJ41" s="354" t="s">
        <v>461</v>
      </c>
      <c r="AK41" s="354" t="s">
        <v>461</v>
      </c>
      <c r="AL41" s="358" t="s">
        <v>98</v>
      </c>
      <c r="AM41" s="358" t="s">
        <v>98</v>
      </c>
      <c r="AN41" s="358" t="s">
        <v>98</v>
      </c>
      <c r="AO41" s="358" t="s">
        <v>98</v>
      </c>
      <c r="AP41" s="358" t="s">
        <v>98</v>
      </c>
      <c r="AQ41" s="61"/>
      <c r="AR41" s="388" t="s">
        <v>458</v>
      </c>
      <c r="AS41" s="388" t="s">
        <v>458</v>
      </c>
      <c r="AT41" s="388" t="s">
        <v>458</v>
      </c>
      <c r="AU41" s="388" t="s">
        <v>458</v>
      </c>
      <c r="AV41" s="388" t="s">
        <v>458</v>
      </c>
      <c r="AW41" s="388" t="s">
        <v>458</v>
      </c>
      <c r="AX41" s="388" t="s">
        <v>458</v>
      </c>
      <c r="AY41" s="388" t="s">
        <v>458</v>
      </c>
      <c r="AZ41" s="374" t="s">
        <v>459</v>
      </c>
      <c r="BA41" s="374" t="s">
        <v>458</v>
      </c>
      <c r="BB41" s="411" t="s">
        <v>471</v>
      </c>
      <c r="BC41" s="374" t="s">
        <v>459</v>
      </c>
      <c r="BD41" s="374" t="s">
        <v>459</v>
      </c>
      <c r="BE41" s="61"/>
      <c r="BF41" s="388" t="s">
        <v>458</v>
      </c>
      <c r="BG41" s="388" t="s">
        <v>458</v>
      </c>
      <c r="BH41" s="388" t="s">
        <v>458</v>
      </c>
      <c r="BI41" s="388" t="s">
        <v>458</v>
      </c>
      <c r="BJ41" s="388" t="s">
        <v>458</v>
      </c>
      <c r="BK41" s="388" t="s">
        <v>458</v>
      </c>
      <c r="BL41" s="388" t="s">
        <v>458</v>
      </c>
      <c r="BM41" s="388" t="s">
        <v>458</v>
      </c>
      <c r="BN41" s="388" t="s">
        <v>458</v>
      </c>
      <c r="BO41" s="388" t="s">
        <v>458</v>
      </c>
      <c r="BP41" s="374" t="s">
        <v>459</v>
      </c>
      <c r="BQ41" s="374" t="s">
        <v>459</v>
      </c>
      <c r="BR41" s="374" t="s">
        <v>459</v>
      </c>
      <c r="BS41" s="27"/>
      <c r="BT41" s="354" t="s">
        <v>461</v>
      </c>
      <c r="BU41" s="354" t="s">
        <v>461</v>
      </c>
      <c r="BV41" s="354" t="s">
        <v>461</v>
      </c>
      <c r="BW41" s="354" t="s">
        <v>461</v>
      </c>
      <c r="BX41" s="354" t="s">
        <v>461</v>
      </c>
      <c r="BY41" s="354" t="s">
        <v>461</v>
      </c>
      <c r="BZ41" s="354" t="s">
        <v>461</v>
      </c>
      <c r="CA41" s="354" t="s">
        <v>461</v>
      </c>
      <c r="CB41" s="358" t="s">
        <v>98</v>
      </c>
      <c r="CC41" s="358" t="s">
        <v>98</v>
      </c>
      <c r="CD41" s="358" t="s">
        <v>98</v>
      </c>
      <c r="CE41" s="358" t="s">
        <v>98</v>
      </c>
      <c r="CF41" s="358" t="s">
        <v>98</v>
      </c>
      <c r="CG41" s="61"/>
      <c r="CH41" s="388" t="s">
        <v>458</v>
      </c>
      <c r="CI41" s="388" t="s">
        <v>458</v>
      </c>
      <c r="CJ41" s="388" t="s">
        <v>458</v>
      </c>
      <c r="CK41" s="388" t="s">
        <v>458</v>
      </c>
      <c r="CL41" s="388" t="s">
        <v>458</v>
      </c>
      <c r="CM41" s="388" t="s">
        <v>458</v>
      </c>
      <c r="CN41" s="388" t="s">
        <v>458</v>
      </c>
      <c r="CO41" s="388" t="s">
        <v>458</v>
      </c>
      <c r="CP41" s="388" t="s">
        <v>459</v>
      </c>
      <c r="CQ41" s="388" t="s">
        <v>458</v>
      </c>
      <c r="CR41" s="374" t="s">
        <v>459</v>
      </c>
      <c r="CS41" s="374" t="s">
        <v>459</v>
      </c>
      <c r="CT41" s="374" t="s">
        <v>459</v>
      </c>
      <c r="CU41" s="61"/>
      <c r="CV41" s="388" t="s">
        <v>458</v>
      </c>
      <c r="CW41" s="388" t="s">
        <v>458</v>
      </c>
      <c r="CX41" s="388" t="s">
        <v>458</v>
      </c>
      <c r="CY41" s="388" t="s">
        <v>458</v>
      </c>
      <c r="CZ41" s="388" t="s">
        <v>458</v>
      </c>
      <c r="DA41" s="388" t="s">
        <v>458</v>
      </c>
      <c r="DB41" s="388" t="s">
        <v>458</v>
      </c>
      <c r="DC41" s="388" t="s">
        <v>458</v>
      </c>
      <c r="DD41" s="398" t="s">
        <v>459</v>
      </c>
      <c r="DE41" s="388" t="s">
        <v>458</v>
      </c>
      <c r="DF41" s="398" t="s">
        <v>459</v>
      </c>
      <c r="DG41" s="398" t="s">
        <v>459</v>
      </c>
      <c r="DH41" s="399" t="s">
        <v>459</v>
      </c>
    </row>
    <row r="42" spans="1:112" ht="89.25">
      <c r="A42" s="708" t="s">
        <v>12</v>
      </c>
      <c r="B42" s="354" t="s">
        <v>461</v>
      </c>
      <c r="C42" s="354" t="s">
        <v>461</v>
      </c>
      <c r="D42" s="354" t="s">
        <v>461</v>
      </c>
      <c r="E42" s="354" t="s">
        <v>461</v>
      </c>
      <c r="F42" s="354" t="s">
        <v>461</v>
      </c>
      <c r="G42" s="354" t="s">
        <v>461</v>
      </c>
      <c r="H42" s="354" t="s">
        <v>461</v>
      </c>
      <c r="I42" s="354" t="s">
        <v>461</v>
      </c>
      <c r="J42" s="358" t="s">
        <v>98</v>
      </c>
      <c r="K42" s="358" t="s">
        <v>98</v>
      </c>
      <c r="L42" s="358" t="s">
        <v>98</v>
      </c>
      <c r="M42" s="358" t="s">
        <v>98</v>
      </c>
      <c r="N42" s="358" t="s">
        <v>98</v>
      </c>
      <c r="P42" s="354" t="s">
        <v>461</v>
      </c>
      <c r="Q42" s="354" t="s">
        <v>461</v>
      </c>
      <c r="R42" s="354" t="s">
        <v>461</v>
      </c>
      <c r="S42" s="354" t="s">
        <v>461</v>
      </c>
      <c r="T42" s="351" t="s">
        <v>458</v>
      </c>
      <c r="U42" s="352" t="s">
        <v>458</v>
      </c>
      <c r="V42" s="351" t="s">
        <v>458</v>
      </c>
      <c r="W42" s="352" t="s">
        <v>458</v>
      </c>
      <c r="X42" s="362" t="s">
        <v>459</v>
      </c>
      <c r="Y42" s="351" t="s">
        <v>458</v>
      </c>
      <c r="Z42" s="370" t="s">
        <v>459</v>
      </c>
      <c r="AA42" s="370" t="s">
        <v>459</v>
      </c>
      <c r="AB42" s="370" t="s">
        <v>459</v>
      </c>
      <c r="AD42" s="354" t="s">
        <v>461</v>
      </c>
      <c r="AE42" s="354" t="s">
        <v>461</v>
      </c>
      <c r="AF42" s="354" t="s">
        <v>461</v>
      </c>
      <c r="AG42" s="354" t="s">
        <v>461</v>
      </c>
      <c r="AH42" s="354" t="s">
        <v>461</v>
      </c>
      <c r="AI42" s="354" t="s">
        <v>461</v>
      </c>
      <c r="AJ42" s="354" t="s">
        <v>461</v>
      </c>
      <c r="AK42" s="354" t="s">
        <v>461</v>
      </c>
      <c r="AL42" s="358" t="s">
        <v>98</v>
      </c>
      <c r="AM42" s="358" t="s">
        <v>98</v>
      </c>
      <c r="AN42" s="358" t="s">
        <v>98</v>
      </c>
      <c r="AO42" s="358" t="s">
        <v>98</v>
      </c>
      <c r="AP42" s="358" t="s">
        <v>98</v>
      </c>
      <c r="AQ42" s="61"/>
      <c r="AR42" s="388" t="s">
        <v>458</v>
      </c>
      <c r="AS42" s="388" t="s">
        <v>458</v>
      </c>
      <c r="AT42" s="388" t="s">
        <v>458</v>
      </c>
      <c r="AU42" s="388" t="s">
        <v>458</v>
      </c>
      <c r="AV42" s="388" t="s">
        <v>458</v>
      </c>
      <c r="AW42" s="388" t="s">
        <v>458</v>
      </c>
      <c r="AX42" s="388" t="s">
        <v>458</v>
      </c>
      <c r="AY42" s="388" t="s">
        <v>458</v>
      </c>
      <c r="AZ42" s="374" t="s">
        <v>459</v>
      </c>
      <c r="BA42" s="374" t="s">
        <v>458</v>
      </c>
      <c r="BB42" s="411" t="s">
        <v>471</v>
      </c>
      <c r="BC42" s="374" t="s">
        <v>459</v>
      </c>
      <c r="BD42" s="374" t="s">
        <v>459</v>
      </c>
      <c r="BE42" s="61"/>
      <c r="BF42" s="388" t="s">
        <v>458</v>
      </c>
      <c r="BG42" s="388" t="s">
        <v>458</v>
      </c>
      <c r="BH42" s="388" t="s">
        <v>458</v>
      </c>
      <c r="BI42" s="388" t="s">
        <v>458</v>
      </c>
      <c r="BJ42" s="388" t="s">
        <v>458</v>
      </c>
      <c r="BK42" s="388" t="s">
        <v>458</v>
      </c>
      <c r="BL42" s="388" t="s">
        <v>458</v>
      </c>
      <c r="BM42" s="388" t="s">
        <v>458</v>
      </c>
      <c r="BN42" s="388" t="s">
        <v>458</v>
      </c>
      <c r="BO42" s="388" t="s">
        <v>458</v>
      </c>
      <c r="BP42" s="374" t="s">
        <v>459</v>
      </c>
      <c r="BQ42" s="374" t="s">
        <v>459</v>
      </c>
      <c r="BR42" s="374" t="s">
        <v>459</v>
      </c>
      <c r="BS42" s="27"/>
      <c r="BT42" s="354" t="s">
        <v>461</v>
      </c>
      <c r="BU42" s="354" t="s">
        <v>461</v>
      </c>
      <c r="BV42" s="354" t="s">
        <v>461</v>
      </c>
      <c r="BW42" s="354" t="s">
        <v>461</v>
      </c>
      <c r="BX42" s="354" t="s">
        <v>461</v>
      </c>
      <c r="BY42" s="354" t="s">
        <v>461</v>
      </c>
      <c r="BZ42" s="354" t="s">
        <v>461</v>
      </c>
      <c r="CA42" s="354" t="s">
        <v>461</v>
      </c>
      <c r="CB42" s="358" t="s">
        <v>98</v>
      </c>
      <c r="CC42" s="358" t="s">
        <v>98</v>
      </c>
      <c r="CD42" s="358" t="s">
        <v>98</v>
      </c>
      <c r="CE42" s="358" t="s">
        <v>98</v>
      </c>
      <c r="CF42" s="358" t="s">
        <v>98</v>
      </c>
      <c r="CG42" s="61"/>
      <c r="CH42" s="388" t="s">
        <v>458</v>
      </c>
      <c r="CI42" s="388" t="s">
        <v>458</v>
      </c>
      <c r="CJ42" s="388" t="s">
        <v>458</v>
      </c>
      <c r="CK42" s="388" t="s">
        <v>458</v>
      </c>
      <c r="CL42" s="388" t="s">
        <v>458</v>
      </c>
      <c r="CM42" s="388" t="s">
        <v>458</v>
      </c>
      <c r="CN42" s="388" t="s">
        <v>458</v>
      </c>
      <c r="CO42" s="388" t="s">
        <v>458</v>
      </c>
      <c r="CP42" s="388" t="s">
        <v>459</v>
      </c>
      <c r="CQ42" s="388" t="s">
        <v>458</v>
      </c>
      <c r="CR42" s="374" t="s">
        <v>459</v>
      </c>
      <c r="CS42" s="374" t="s">
        <v>459</v>
      </c>
      <c r="CT42" s="374" t="s">
        <v>459</v>
      </c>
      <c r="CU42" s="61"/>
      <c r="CV42" s="388" t="s">
        <v>458</v>
      </c>
      <c r="CW42" s="388" t="s">
        <v>458</v>
      </c>
      <c r="CX42" s="388" t="s">
        <v>458</v>
      </c>
      <c r="CY42" s="388" t="s">
        <v>458</v>
      </c>
      <c r="CZ42" s="388" t="s">
        <v>458</v>
      </c>
      <c r="DA42" s="388" t="s">
        <v>458</v>
      </c>
      <c r="DB42" s="388" t="s">
        <v>458</v>
      </c>
      <c r="DC42" s="388" t="s">
        <v>458</v>
      </c>
      <c r="DD42" s="398" t="s">
        <v>459</v>
      </c>
      <c r="DE42" s="388" t="s">
        <v>458</v>
      </c>
      <c r="DF42" s="398" t="s">
        <v>459</v>
      </c>
      <c r="DG42" s="398" t="s">
        <v>459</v>
      </c>
      <c r="DH42" s="399" t="s">
        <v>459</v>
      </c>
    </row>
    <row r="43" spans="1:112" ht="89.25">
      <c r="A43" s="708" t="s">
        <v>13</v>
      </c>
      <c r="B43" s="354" t="s">
        <v>461</v>
      </c>
      <c r="C43" s="354" t="s">
        <v>461</v>
      </c>
      <c r="D43" s="354" t="s">
        <v>461</v>
      </c>
      <c r="E43" s="354" t="s">
        <v>461</v>
      </c>
      <c r="F43" s="354" t="s">
        <v>461</v>
      </c>
      <c r="G43" s="354" t="s">
        <v>461</v>
      </c>
      <c r="H43" s="354" t="s">
        <v>461</v>
      </c>
      <c r="I43" s="354" t="s">
        <v>461</v>
      </c>
      <c r="J43" s="358" t="s">
        <v>98</v>
      </c>
      <c r="K43" s="358" t="s">
        <v>98</v>
      </c>
      <c r="L43" s="358" t="s">
        <v>98</v>
      </c>
      <c r="M43" s="358" t="s">
        <v>98</v>
      </c>
      <c r="N43" s="358" t="s">
        <v>98</v>
      </c>
      <c r="P43" s="354" t="s">
        <v>461</v>
      </c>
      <c r="Q43" s="354" t="s">
        <v>461</v>
      </c>
      <c r="R43" s="354" t="s">
        <v>461</v>
      </c>
      <c r="S43" s="354" t="s">
        <v>461</v>
      </c>
      <c r="T43" s="351" t="s">
        <v>458</v>
      </c>
      <c r="U43" s="352" t="s">
        <v>458</v>
      </c>
      <c r="V43" s="351" t="s">
        <v>458</v>
      </c>
      <c r="W43" s="352" t="s">
        <v>458</v>
      </c>
      <c r="X43" s="362" t="s">
        <v>459</v>
      </c>
      <c r="Y43" s="351" t="s">
        <v>458</v>
      </c>
      <c r="Z43" s="370" t="s">
        <v>459</v>
      </c>
      <c r="AA43" s="370" t="s">
        <v>459</v>
      </c>
      <c r="AB43" s="370" t="s">
        <v>459</v>
      </c>
      <c r="AD43" s="354" t="s">
        <v>461</v>
      </c>
      <c r="AE43" s="354" t="s">
        <v>461</v>
      </c>
      <c r="AF43" s="354" t="s">
        <v>461</v>
      </c>
      <c r="AG43" s="354" t="s">
        <v>461</v>
      </c>
      <c r="AH43" s="354" t="s">
        <v>461</v>
      </c>
      <c r="AI43" s="354" t="s">
        <v>461</v>
      </c>
      <c r="AJ43" s="354" t="s">
        <v>461</v>
      </c>
      <c r="AK43" s="354" t="s">
        <v>461</v>
      </c>
      <c r="AL43" s="358" t="s">
        <v>98</v>
      </c>
      <c r="AM43" s="358" t="s">
        <v>98</v>
      </c>
      <c r="AN43" s="358" t="s">
        <v>98</v>
      </c>
      <c r="AO43" s="358" t="s">
        <v>98</v>
      </c>
      <c r="AP43" s="358" t="s">
        <v>98</v>
      </c>
      <c r="AQ43" s="61"/>
      <c r="AR43" s="388" t="s">
        <v>458</v>
      </c>
      <c r="AS43" s="388" t="s">
        <v>458</v>
      </c>
      <c r="AT43" s="388" t="s">
        <v>458</v>
      </c>
      <c r="AU43" s="388" t="s">
        <v>458</v>
      </c>
      <c r="AV43" s="388" t="s">
        <v>458</v>
      </c>
      <c r="AW43" s="388" t="s">
        <v>458</v>
      </c>
      <c r="AX43" s="388" t="s">
        <v>458</v>
      </c>
      <c r="AY43" s="388" t="s">
        <v>458</v>
      </c>
      <c r="AZ43" s="374" t="s">
        <v>459</v>
      </c>
      <c r="BA43" s="374" t="s">
        <v>458</v>
      </c>
      <c r="BB43" s="411" t="s">
        <v>471</v>
      </c>
      <c r="BC43" s="374" t="s">
        <v>459</v>
      </c>
      <c r="BD43" s="374" t="s">
        <v>459</v>
      </c>
      <c r="BE43" s="61"/>
      <c r="BF43" s="388" t="s">
        <v>458</v>
      </c>
      <c r="BG43" s="388" t="s">
        <v>458</v>
      </c>
      <c r="BH43" s="388" t="s">
        <v>458</v>
      </c>
      <c r="BI43" s="388" t="s">
        <v>458</v>
      </c>
      <c r="BJ43" s="388" t="s">
        <v>458</v>
      </c>
      <c r="BK43" s="388" t="s">
        <v>458</v>
      </c>
      <c r="BL43" s="388" t="s">
        <v>458</v>
      </c>
      <c r="BM43" s="388" t="s">
        <v>458</v>
      </c>
      <c r="BN43" s="388" t="s">
        <v>458</v>
      </c>
      <c r="BO43" s="388" t="s">
        <v>458</v>
      </c>
      <c r="BP43" s="374" t="s">
        <v>459</v>
      </c>
      <c r="BQ43" s="374" t="s">
        <v>459</v>
      </c>
      <c r="BR43" s="374" t="s">
        <v>459</v>
      </c>
      <c r="BS43" s="27"/>
      <c r="BT43" s="354" t="s">
        <v>461</v>
      </c>
      <c r="BU43" s="354" t="s">
        <v>461</v>
      </c>
      <c r="BV43" s="354" t="s">
        <v>461</v>
      </c>
      <c r="BW43" s="354" t="s">
        <v>461</v>
      </c>
      <c r="BX43" s="354" t="s">
        <v>461</v>
      </c>
      <c r="BY43" s="354" t="s">
        <v>461</v>
      </c>
      <c r="BZ43" s="354" t="s">
        <v>461</v>
      </c>
      <c r="CA43" s="354" t="s">
        <v>461</v>
      </c>
      <c r="CB43" s="358" t="s">
        <v>98</v>
      </c>
      <c r="CC43" s="358" t="s">
        <v>98</v>
      </c>
      <c r="CD43" s="358" t="s">
        <v>98</v>
      </c>
      <c r="CE43" s="358" t="s">
        <v>98</v>
      </c>
      <c r="CF43" s="358" t="s">
        <v>98</v>
      </c>
      <c r="CG43" s="61"/>
      <c r="CH43" s="388" t="s">
        <v>458</v>
      </c>
      <c r="CI43" s="388" t="s">
        <v>458</v>
      </c>
      <c r="CJ43" s="388" t="s">
        <v>458</v>
      </c>
      <c r="CK43" s="388" t="s">
        <v>458</v>
      </c>
      <c r="CL43" s="388" t="s">
        <v>458</v>
      </c>
      <c r="CM43" s="388" t="s">
        <v>458</v>
      </c>
      <c r="CN43" s="388" t="s">
        <v>458</v>
      </c>
      <c r="CO43" s="388" t="s">
        <v>458</v>
      </c>
      <c r="CP43" s="388" t="s">
        <v>459</v>
      </c>
      <c r="CQ43" s="388" t="s">
        <v>458</v>
      </c>
      <c r="CR43" s="374" t="s">
        <v>459</v>
      </c>
      <c r="CS43" s="374" t="s">
        <v>459</v>
      </c>
      <c r="CT43" s="374" t="s">
        <v>459</v>
      </c>
      <c r="CU43" s="61"/>
      <c r="CV43" s="388" t="s">
        <v>458</v>
      </c>
      <c r="CW43" s="388" t="s">
        <v>458</v>
      </c>
      <c r="CX43" s="388" t="s">
        <v>458</v>
      </c>
      <c r="CY43" s="388" t="s">
        <v>458</v>
      </c>
      <c r="CZ43" s="388" t="s">
        <v>458</v>
      </c>
      <c r="DA43" s="388" t="s">
        <v>458</v>
      </c>
      <c r="DB43" s="388" t="s">
        <v>458</v>
      </c>
      <c r="DC43" s="388" t="s">
        <v>458</v>
      </c>
      <c r="DD43" s="398" t="s">
        <v>459</v>
      </c>
      <c r="DE43" s="388" t="s">
        <v>458</v>
      </c>
      <c r="DF43" s="398" t="s">
        <v>459</v>
      </c>
      <c r="DG43" s="398" t="s">
        <v>459</v>
      </c>
      <c r="DH43" s="399" t="s">
        <v>459</v>
      </c>
    </row>
    <row r="44" spans="1:112" s="225" customFormat="1" ht="102" customHeight="1">
      <c r="A44" s="711" t="s">
        <v>14</v>
      </c>
      <c r="B44" s="354" t="s">
        <v>461</v>
      </c>
      <c r="C44" s="354" t="s">
        <v>461</v>
      </c>
      <c r="D44" s="354" t="s">
        <v>461</v>
      </c>
      <c r="E44" s="354" t="s">
        <v>461</v>
      </c>
      <c r="F44" s="354" t="s">
        <v>461</v>
      </c>
      <c r="G44" s="354" t="s">
        <v>461</v>
      </c>
      <c r="H44" s="354" t="s">
        <v>461</v>
      </c>
      <c r="I44" s="354" t="s">
        <v>461</v>
      </c>
      <c r="J44" s="358" t="s">
        <v>98</v>
      </c>
      <c r="K44" s="358" t="s">
        <v>98</v>
      </c>
      <c r="L44" s="358" t="s">
        <v>98</v>
      </c>
      <c r="M44" s="358" t="s">
        <v>98</v>
      </c>
      <c r="N44" s="358" t="s">
        <v>98</v>
      </c>
      <c r="P44" s="349" t="s">
        <v>457</v>
      </c>
      <c r="Q44" s="349" t="s">
        <v>457</v>
      </c>
      <c r="R44" s="349" t="s">
        <v>457</v>
      </c>
      <c r="S44" s="349" t="s">
        <v>457</v>
      </c>
      <c r="T44" s="364" t="s">
        <v>521</v>
      </c>
      <c r="U44" s="364" t="s">
        <v>521</v>
      </c>
      <c r="V44" s="364" t="s">
        <v>521</v>
      </c>
      <c r="W44" s="364" t="s">
        <v>521</v>
      </c>
      <c r="X44" s="364" t="s">
        <v>521</v>
      </c>
      <c r="Y44" s="364" t="s">
        <v>521</v>
      </c>
      <c r="Z44" s="364" t="s">
        <v>521</v>
      </c>
      <c r="AA44" s="364" t="s">
        <v>521</v>
      </c>
      <c r="AB44" s="368" t="s">
        <v>520</v>
      </c>
      <c r="AD44" s="354" t="s">
        <v>461</v>
      </c>
      <c r="AE44" s="354" t="s">
        <v>461</v>
      </c>
      <c r="AF44" s="354" t="s">
        <v>461</v>
      </c>
      <c r="AG44" s="354" t="s">
        <v>461</v>
      </c>
      <c r="AH44" s="354" t="s">
        <v>461</v>
      </c>
      <c r="AI44" s="354" t="s">
        <v>461</v>
      </c>
      <c r="AJ44" s="354" t="s">
        <v>461</v>
      </c>
      <c r="AK44" s="354" t="s">
        <v>461</v>
      </c>
      <c r="AL44" s="358" t="s">
        <v>98</v>
      </c>
      <c r="AM44" s="358" t="s">
        <v>98</v>
      </c>
      <c r="AN44" s="358" t="s">
        <v>98</v>
      </c>
      <c r="AO44" s="358" t="s">
        <v>98</v>
      </c>
      <c r="AP44" s="358" t="s">
        <v>98</v>
      </c>
      <c r="AQ44" s="392"/>
      <c r="AR44" s="388" t="s">
        <v>458</v>
      </c>
      <c r="AS44" s="388" t="s">
        <v>458</v>
      </c>
      <c r="AT44" s="388" t="s">
        <v>458</v>
      </c>
      <c r="AU44" s="388" t="s">
        <v>458</v>
      </c>
      <c r="AV44" s="388" t="s">
        <v>458</v>
      </c>
      <c r="AW44" s="388" t="s">
        <v>458</v>
      </c>
      <c r="AX44" s="388" t="s">
        <v>458</v>
      </c>
      <c r="AY44" s="388" t="s">
        <v>458</v>
      </c>
      <c r="AZ44" s="374" t="s">
        <v>459</v>
      </c>
      <c r="BA44" s="374" t="s">
        <v>458</v>
      </c>
      <c r="BB44" s="411" t="s">
        <v>471</v>
      </c>
      <c r="BC44" s="374" t="s">
        <v>459</v>
      </c>
      <c r="BD44" s="374" t="s">
        <v>459</v>
      </c>
      <c r="BE44" s="392"/>
      <c r="BF44" s="418" t="s">
        <v>568</v>
      </c>
      <c r="BG44" s="418" t="s">
        <v>568</v>
      </c>
      <c r="BH44" s="418" t="s">
        <v>568</v>
      </c>
      <c r="BI44" s="418" t="s">
        <v>568</v>
      </c>
      <c r="BJ44" s="418" t="s">
        <v>568</v>
      </c>
      <c r="BK44" s="418" t="s">
        <v>568</v>
      </c>
      <c r="BL44" s="418" t="s">
        <v>568</v>
      </c>
      <c r="BM44" s="418" t="s">
        <v>568</v>
      </c>
      <c r="BN44" s="418" t="s">
        <v>568</v>
      </c>
      <c r="BO44" s="418" t="s">
        <v>568</v>
      </c>
      <c r="BP44" s="414">
        <v>5214.9543899773689</v>
      </c>
      <c r="BQ44" s="414">
        <v>10296.27306</v>
      </c>
      <c r="BR44" s="416" t="e">
        <f>BQ44*BR25/BQ25</f>
        <v>#DIV/0!</v>
      </c>
      <c r="BS44" s="417"/>
      <c r="BT44" s="354" t="s">
        <v>461</v>
      </c>
      <c r="BU44" s="354" t="s">
        <v>461</v>
      </c>
      <c r="BV44" s="354" t="s">
        <v>461</v>
      </c>
      <c r="BW44" s="354" t="s">
        <v>461</v>
      </c>
      <c r="BX44" s="354" t="s">
        <v>461</v>
      </c>
      <c r="BY44" s="354" t="s">
        <v>461</v>
      </c>
      <c r="BZ44" s="354" t="s">
        <v>461</v>
      </c>
      <c r="CA44" s="354" t="s">
        <v>461</v>
      </c>
      <c r="CB44" s="358" t="s">
        <v>98</v>
      </c>
      <c r="CC44" s="358" t="s">
        <v>98</v>
      </c>
      <c r="CD44" s="358" t="s">
        <v>98</v>
      </c>
      <c r="CE44" s="358" t="s">
        <v>98</v>
      </c>
      <c r="CF44" s="358" t="s">
        <v>98</v>
      </c>
      <c r="CG44" s="392"/>
      <c r="CH44" s="390" t="s">
        <v>532</v>
      </c>
      <c r="CI44" s="390" t="s">
        <v>532</v>
      </c>
      <c r="CJ44" s="390" t="s">
        <v>532</v>
      </c>
      <c r="CK44" s="390" t="s">
        <v>532</v>
      </c>
      <c r="CL44" s="390" t="s">
        <v>532</v>
      </c>
      <c r="CM44" s="390" t="s">
        <v>532</v>
      </c>
      <c r="CN44" s="390" t="s">
        <v>532</v>
      </c>
      <c r="CO44" s="390" t="s">
        <v>532</v>
      </c>
      <c r="CP44" s="389" t="s">
        <v>533</v>
      </c>
      <c r="CQ44" s="389" t="s">
        <v>534</v>
      </c>
      <c r="CR44" s="374" t="s">
        <v>459</v>
      </c>
      <c r="CS44" s="374" t="s">
        <v>459</v>
      </c>
      <c r="CT44" s="389" t="s">
        <v>542</v>
      </c>
      <c r="CU44" s="392"/>
      <c r="CV44" s="389" t="s">
        <v>544</v>
      </c>
      <c r="CW44" s="389" t="s">
        <v>545</v>
      </c>
      <c r="CX44" s="389" t="s">
        <v>546</v>
      </c>
      <c r="CY44" s="389" t="s">
        <v>547</v>
      </c>
      <c r="CZ44" s="389" t="s">
        <v>548</v>
      </c>
      <c r="DA44" s="389" t="s">
        <v>549</v>
      </c>
      <c r="DB44" s="389" t="s">
        <v>550</v>
      </c>
      <c r="DC44" s="389" t="s">
        <v>551</v>
      </c>
      <c r="DD44" s="398" t="s">
        <v>459</v>
      </c>
      <c r="DE44" s="389" t="s">
        <v>543</v>
      </c>
      <c r="DF44" s="398" t="s">
        <v>459</v>
      </c>
      <c r="DG44" s="398" t="s">
        <v>459</v>
      </c>
      <c r="DH44" s="399" t="s">
        <v>459</v>
      </c>
    </row>
    <row r="45" spans="1:112" s="225" customFormat="1" ht="84.95" customHeight="1">
      <c r="A45" s="711" t="s">
        <v>15</v>
      </c>
      <c r="B45" s="354" t="s">
        <v>461</v>
      </c>
      <c r="C45" s="354" t="s">
        <v>461</v>
      </c>
      <c r="D45" s="354" t="s">
        <v>461</v>
      </c>
      <c r="E45" s="354" t="s">
        <v>461</v>
      </c>
      <c r="F45" s="354" t="s">
        <v>461</v>
      </c>
      <c r="G45" s="354" t="s">
        <v>461</v>
      </c>
      <c r="H45" s="354" t="s">
        <v>461</v>
      </c>
      <c r="I45" s="354" t="s">
        <v>461</v>
      </c>
      <c r="J45" s="358" t="s">
        <v>98</v>
      </c>
      <c r="K45" s="358" t="s">
        <v>98</v>
      </c>
      <c r="L45" s="358" t="s">
        <v>98</v>
      </c>
      <c r="M45" s="358" t="s">
        <v>98</v>
      </c>
      <c r="N45" s="358" t="s">
        <v>98</v>
      </c>
      <c r="P45" s="350" t="s">
        <v>512</v>
      </c>
      <c r="Q45" s="350" t="s">
        <v>513</v>
      </c>
      <c r="R45" s="350" t="s">
        <v>514</v>
      </c>
      <c r="S45" s="350" t="s">
        <v>515</v>
      </c>
      <c r="T45" s="348" t="s">
        <v>490</v>
      </c>
      <c r="U45" s="348" t="s">
        <v>491</v>
      </c>
      <c r="V45" s="348" t="s">
        <v>492</v>
      </c>
      <c r="W45" s="348" t="s">
        <v>493</v>
      </c>
      <c r="X45" s="361" t="s">
        <v>494</v>
      </c>
      <c r="Y45" s="351" t="s">
        <v>458</v>
      </c>
      <c r="Z45" s="370" t="s">
        <v>459</v>
      </c>
      <c r="AA45" s="370" t="s">
        <v>459</v>
      </c>
      <c r="AB45" s="379" t="s">
        <v>522</v>
      </c>
      <c r="AD45" s="354" t="s">
        <v>461</v>
      </c>
      <c r="AE45" s="354" t="s">
        <v>461</v>
      </c>
      <c r="AF45" s="354" t="s">
        <v>461</v>
      </c>
      <c r="AG45" s="354" t="s">
        <v>461</v>
      </c>
      <c r="AH45" s="354" t="s">
        <v>461</v>
      </c>
      <c r="AI45" s="354" t="s">
        <v>461</v>
      </c>
      <c r="AJ45" s="354" t="s">
        <v>461</v>
      </c>
      <c r="AK45" s="354" t="s">
        <v>461</v>
      </c>
      <c r="AL45" s="358" t="s">
        <v>98</v>
      </c>
      <c r="AM45" s="358" t="s">
        <v>98</v>
      </c>
      <c r="AN45" s="358" t="s">
        <v>98</v>
      </c>
      <c r="AO45" s="358" t="s">
        <v>98</v>
      </c>
      <c r="AP45" s="358" t="s">
        <v>98</v>
      </c>
      <c r="AQ45" s="392"/>
      <c r="AR45" s="388" t="s">
        <v>458</v>
      </c>
      <c r="AS45" s="388" t="s">
        <v>458</v>
      </c>
      <c r="AT45" s="388" t="s">
        <v>458</v>
      </c>
      <c r="AU45" s="388" t="s">
        <v>458</v>
      </c>
      <c r="AV45" s="388" t="s">
        <v>458</v>
      </c>
      <c r="AW45" s="388" t="s">
        <v>458</v>
      </c>
      <c r="AX45" s="388" t="s">
        <v>458</v>
      </c>
      <c r="AY45" s="388" t="s">
        <v>458</v>
      </c>
      <c r="AZ45" s="374" t="s">
        <v>459</v>
      </c>
      <c r="BA45" s="374" t="s">
        <v>458</v>
      </c>
      <c r="BB45" s="411" t="s">
        <v>471</v>
      </c>
      <c r="BC45" s="374" t="s">
        <v>459</v>
      </c>
      <c r="BD45" s="374" t="s">
        <v>459</v>
      </c>
      <c r="BE45" s="392"/>
      <c r="BF45" s="347" t="s">
        <v>569</v>
      </c>
      <c r="BG45" s="347" t="s">
        <v>569</v>
      </c>
      <c r="BH45" s="419" t="s">
        <v>570</v>
      </c>
      <c r="BI45" s="347" t="s">
        <v>569</v>
      </c>
      <c r="BJ45" s="347" t="s">
        <v>569</v>
      </c>
      <c r="BK45" s="347" t="s">
        <v>569</v>
      </c>
      <c r="BL45" s="347" t="s">
        <v>569</v>
      </c>
      <c r="BM45" s="347" t="s">
        <v>569</v>
      </c>
      <c r="BN45" s="347" t="s">
        <v>569</v>
      </c>
      <c r="BO45" s="347" t="s">
        <v>569</v>
      </c>
      <c r="BP45" s="1">
        <v>2116.6552079869725</v>
      </c>
      <c r="BQ45" s="1">
        <v>9.2227000000420958</v>
      </c>
      <c r="BR45" s="1">
        <v>20.923200000000001</v>
      </c>
      <c r="BS45" s="27"/>
      <c r="BT45" s="354" t="s">
        <v>461</v>
      </c>
      <c r="BU45" s="354" t="s">
        <v>461</v>
      </c>
      <c r="BV45" s="354" t="s">
        <v>461</v>
      </c>
      <c r="BW45" s="354" t="s">
        <v>461</v>
      </c>
      <c r="BX45" s="354" t="s">
        <v>461</v>
      </c>
      <c r="BY45" s="354" t="s">
        <v>461</v>
      </c>
      <c r="BZ45" s="354" t="s">
        <v>461</v>
      </c>
      <c r="CA45" s="354" t="s">
        <v>461</v>
      </c>
      <c r="CB45" s="358" t="s">
        <v>98</v>
      </c>
      <c r="CC45" s="358" t="s">
        <v>98</v>
      </c>
      <c r="CD45" s="358" t="s">
        <v>98</v>
      </c>
      <c r="CE45" s="358" t="s">
        <v>98</v>
      </c>
      <c r="CF45" s="358" t="s">
        <v>98</v>
      </c>
      <c r="CG45" s="392"/>
      <c r="CH45" s="388" t="s">
        <v>458</v>
      </c>
      <c r="CI45" s="388" t="s">
        <v>458</v>
      </c>
      <c r="CJ45" s="388" t="s">
        <v>458</v>
      </c>
      <c r="CK45" s="388" t="s">
        <v>458</v>
      </c>
      <c r="CL45" s="388" t="s">
        <v>458</v>
      </c>
      <c r="CM45" s="388" t="s">
        <v>458</v>
      </c>
      <c r="CN45" s="388" t="s">
        <v>458</v>
      </c>
      <c r="CO45" s="389" t="s">
        <v>535</v>
      </c>
      <c r="CP45" s="389" t="s">
        <v>536</v>
      </c>
      <c r="CQ45" s="389" t="s">
        <v>537</v>
      </c>
      <c r="CR45" s="374" t="s">
        <v>459</v>
      </c>
      <c r="CS45" s="374" t="s">
        <v>459</v>
      </c>
      <c r="CT45" s="389" t="s">
        <v>541</v>
      </c>
      <c r="CU45" s="392"/>
      <c r="CV45" s="388" t="s">
        <v>458</v>
      </c>
      <c r="CW45" s="388" t="s">
        <v>458</v>
      </c>
      <c r="CX45" s="388" t="s">
        <v>458</v>
      </c>
      <c r="CY45" s="388" t="s">
        <v>458</v>
      </c>
      <c r="CZ45" s="388" t="s">
        <v>458</v>
      </c>
      <c r="DA45" s="388" t="s">
        <v>458</v>
      </c>
      <c r="DB45" s="388" t="s">
        <v>458</v>
      </c>
      <c r="DC45" s="388" t="s">
        <v>458</v>
      </c>
      <c r="DD45" s="398" t="s">
        <v>459</v>
      </c>
      <c r="DE45" s="388" t="s">
        <v>458</v>
      </c>
      <c r="DF45" s="398" t="s">
        <v>459</v>
      </c>
      <c r="DG45" s="398" t="s">
        <v>459</v>
      </c>
      <c r="DH45" s="399" t="s">
        <v>459</v>
      </c>
    </row>
    <row r="46" spans="1:112" ht="89.25">
      <c r="A46" s="708" t="s">
        <v>16</v>
      </c>
      <c r="B46" s="354" t="s">
        <v>461</v>
      </c>
      <c r="C46" s="354" t="s">
        <v>461</v>
      </c>
      <c r="D46" s="354" t="s">
        <v>461</v>
      </c>
      <c r="E46" s="354" t="s">
        <v>461</v>
      </c>
      <c r="F46" s="354" t="s">
        <v>461</v>
      </c>
      <c r="G46" s="354" t="s">
        <v>461</v>
      </c>
      <c r="H46" s="354" t="s">
        <v>461</v>
      </c>
      <c r="I46" s="354" t="s">
        <v>461</v>
      </c>
      <c r="J46" s="358" t="s">
        <v>98</v>
      </c>
      <c r="K46" s="358" t="s">
        <v>98</v>
      </c>
      <c r="L46" s="358" t="s">
        <v>98</v>
      </c>
      <c r="M46" s="358" t="s">
        <v>98</v>
      </c>
      <c r="N46" s="358" t="s">
        <v>98</v>
      </c>
      <c r="P46" s="349" t="s">
        <v>457</v>
      </c>
      <c r="Q46" s="349" t="s">
        <v>457</v>
      </c>
      <c r="R46" s="349" t="s">
        <v>457</v>
      </c>
      <c r="S46" s="349" t="s">
        <v>457</v>
      </c>
      <c r="T46" s="351" t="s">
        <v>458</v>
      </c>
      <c r="U46" s="352" t="s">
        <v>458</v>
      </c>
      <c r="V46" s="351" t="s">
        <v>458</v>
      </c>
      <c r="W46" s="352" t="s">
        <v>458</v>
      </c>
      <c r="X46" s="362" t="s">
        <v>459</v>
      </c>
      <c r="Y46" s="351" t="s">
        <v>458</v>
      </c>
      <c r="Z46" s="370" t="s">
        <v>459</v>
      </c>
      <c r="AA46" s="370" t="s">
        <v>459</v>
      </c>
      <c r="AB46" s="370" t="s">
        <v>459</v>
      </c>
      <c r="AD46" s="354" t="s">
        <v>461</v>
      </c>
      <c r="AE46" s="354" t="s">
        <v>461</v>
      </c>
      <c r="AF46" s="354" t="s">
        <v>461</v>
      </c>
      <c r="AG46" s="354" t="s">
        <v>461</v>
      </c>
      <c r="AH46" s="354" t="s">
        <v>461</v>
      </c>
      <c r="AI46" s="354" t="s">
        <v>461</v>
      </c>
      <c r="AJ46" s="354" t="s">
        <v>461</v>
      </c>
      <c r="AK46" s="354" t="s">
        <v>461</v>
      </c>
      <c r="AL46" s="358" t="s">
        <v>98</v>
      </c>
      <c r="AM46" s="358" t="s">
        <v>98</v>
      </c>
      <c r="AN46" s="358" t="s">
        <v>98</v>
      </c>
      <c r="AO46" s="358" t="s">
        <v>98</v>
      </c>
      <c r="AP46" s="358" t="s">
        <v>98</v>
      </c>
      <c r="AQ46" s="61"/>
      <c r="AR46" s="388" t="s">
        <v>458</v>
      </c>
      <c r="AS46" s="388" t="s">
        <v>458</v>
      </c>
      <c r="AT46" s="388" t="s">
        <v>458</v>
      </c>
      <c r="AU46" s="388" t="s">
        <v>458</v>
      </c>
      <c r="AV46" s="388" t="s">
        <v>458</v>
      </c>
      <c r="AW46" s="388" t="s">
        <v>458</v>
      </c>
      <c r="AX46" s="388" t="s">
        <v>458</v>
      </c>
      <c r="AY46" s="388" t="s">
        <v>458</v>
      </c>
      <c r="AZ46" s="374" t="s">
        <v>459</v>
      </c>
      <c r="BA46" s="374" t="s">
        <v>458</v>
      </c>
      <c r="BB46" s="411" t="s">
        <v>471</v>
      </c>
      <c r="BC46" s="374" t="s">
        <v>459</v>
      </c>
      <c r="BD46" s="374" t="s">
        <v>459</v>
      </c>
      <c r="BE46" s="61"/>
      <c r="BF46" s="388" t="s">
        <v>458</v>
      </c>
      <c r="BG46" s="388" t="s">
        <v>458</v>
      </c>
      <c r="BH46" s="388" t="s">
        <v>458</v>
      </c>
      <c r="BI46" s="388" t="s">
        <v>458</v>
      </c>
      <c r="BJ46" s="388" t="s">
        <v>458</v>
      </c>
      <c r="BK46" s="388" t="s">
        <v>458</v>
      </c>
      <c r="BL46" s="388" t="s">
        <v>458</v>
      </c>
      <c r="BM46" s="388" t="s">
        <v>458</v>
      </c>
      <c r="BN46" s="388" t="s">
        <v>458</v>
      </c>
      <c r="BO46" s="388" t="s">
        <v>458</v>
      </c>
      <c r="BP46" s="374" t="s">
        <v>459</v>
      </c>
      <c r="BQ46" s="374" t="s">
        <v>459</v>
      </c>
      <c r="BR46" s="374" t="s">
        <v>459</v>
      </c>
      <c r="BS46" s="27"/>
      <c r="BT46" s="354" t="s">
        <v>461</v>
      </c>
      <c r="BU46" s="354" t="s">
        <v>461</v>
      </c>
      <c r="BV46" s="354" t="s">
        <v>461</v>
      </c>
      <c r="BW46" s="354" t="s">
        <v>461</v>
      </c>
      <c r="BX46" s="354" t="s">
        <v>461</v>
      </c>
      <c r="BY46" s="354" t="s">
        <v>461</v>
      </c>
      <c r="BZ46" s="354" t="s">
        <v>461</v>
      </c>
      <c r="CA46" s="354" t="s">
        <v>461</v>
      </c>
      <c r="CB46" s="358" t="s">
        <v>98</v>
      </c>
      <c r="CC46" s="358" t="s">
        <v>98</v>
      </c>
      <c r="CD46" s="358" t="s">
        <v>98</v>
      </c>
      <c r="CE46" s="358" t="s">
        <v>98</v>
      </c>
      <c r="CF46" s="358" t="s">
        <v>98</v>
      </c>
      <c r="CG46" s="61"/>
      <c r="CH46" s="388" t="s">
        <v>458</v>
      </c>
      <c r="CI46" s="388" t="s">
        <v>458</v>
      </c>
      <c r="CJ46" s="388" t="s">
        <v>458</v>
      </c>
      <c r="CK46" s="388" t="s">
        <v>458</v>
      </c>
      <c r="CL46" s="388" t="s">
        <v>458</v>
      </c>
      <c r="CM46" s="388" t="s">
        <v>458</v>
      </c>
      <c r="CN46" s="388" t="s">
        <v>458</v>
      </c>
      <c r="CO46" s="388" t="s">
        <v>458</v>
      </c>
      <c r="CP46" s="388" t="s">
        <v>459</v>
      </c>
      <c r="CQ46" s="388" t="s">
        <v>458</v>
      </c>
      <c r="CR46" s="374" t="s">
        <v>459</v>
      </c>
      <c r="CS46" s="374" t="s">
        <v>459</v>
      </c>
      <c r="CT46" s="374" t="s">
        <v>459</v>
      </c>
      <c r="CU46" s="61"/>
      <c r="CV46" s="388" t="s">
        <v>458</v>
      </c>
      <c r="CW46" s="388" t="s">
        <v>458</v>
      </c>
      <c r="CX46" s="388" t="s">
        <v>458</v>
      </c>
      <c r="CY46" s="388" t="s">
        <v>458</v>
      </c>
      <c r="CZ46" s="388" t="s">
        <v>458</v>
      </c>
      <c r="DA46" s="388" t="s">
        <v>458</v>
      </c>
      <c r="DB46" s="388" t="s">
        <v>458</v>
      </c>
      <c r="DC46" s="388" t="s">
        <v>458</v>
      </c>
      <c r="DD46" s="398" t="s">
        <v>459</v>
      </c>
      <c r="DE46" s="388" t="s">
        <v>458</v>
      </c>
      <c r="DF46" s="398" t="s">
        <v>459</v>
      </c>
      <c r="DG46" s="398" t="s">
        <v>459</v>
      </c>
      <c r="DH46" s="399" t="s">
        <v>459</v>
      </c>
    </row>
    <row r="47" spans="1:112" ht="89.25">
      <c r="A47" s="708" t="s">
        <v>69</v>
      </c>
      <c r="B47" s="354" t="s">
        <v>461</v>
      </c>
      <c r="C47" s="354" t="s">
        <v>461</v>
      </c>
      <c r="D47" s="354" t="s">
        <v>461</v>
      </c>
      <c r="E47" s="354" t="s">
        <v>461</v>
      </c>
      <c r="F47" s="354" t="s">
        <v>461</v>
      </c>
      <c r="G47" s="354" t="s">
        <v>461</v>
      </c>
      <c r="H47" s="354" t="s">
        <v>461</v>
      </c>
      <c r="I47" s="354" t="s">
        <v>461</v>
      </c>
      <c r="J47" s="358" t="s">
        <v>98</v>
      </c>
      <c r="K47" s="358" t="s">
        <v>98</v>
      </c>
      <c r="L47" s="358" t="s">
        <v>98</v>
      </c>
      <c r="M47" s="358" t="s">
        <v>98</v>
      </c>
      <c r="N47" s="358" t="s">
        <v>98</v>
      </c>
      <c r="P47" s="349" t="s">
        <v>457</v>
      </c>
      <c r="Q47" s="349" t="s">
        <v>457</v>
      </c>
      <c r="R47" s="349" t="s">
        <v>457</v>
      </c>
      <c r="S47" s="349" t="s">
        <v>457</v>
      </c>
      <c r="T47" s="351" t="s">
        <v>458</v>
      </c>
      <c r="U47" s="352" t="s">
        <v>458</v>
      </c>
      <c r="V47" s="351" t="s">
        <v>458</v>
      </c>
      <c r="W47" s="352" t="s">
        <v>458</v>
      </c>
      <c r="X47" s="362" t="s">
        <v>459</v>
      </c>
      <c r="Y47" s="351" t="s">
        <v>458</v>
      </c>
      <c r="Z47" s="370" t="s">
        <v>459</v>
      </c>
      <c r="AA47" s="370" t="s">
        <v>459</v>
      </c>
      <c r="AB47" s="370" t="s">
        <v>459</v>
      </c>
      <c r="AD47" s="354" t="s">
        <v>461</v>
      </c>
      <c r="AE47" s="354" t="s">
        <v>461</v>
      </c>
      <c r="AF47" s="354" t="s">
        <v>461</v>
      </c>
      <c r="AG47" s="354" t="s">
        <v>461</v>
      </c>
      <c r="AH47" s="354" t="s">
        <v>461</v>
      </c>
      <c r="AI47" s="354" t="s">
        <v>461</v>
      </c>
      <c r="AJ47" s="354" t="s">
        <v>461</v>
      </c>
      <c r="AK47" s="354" t="s">
        <v>461</v>
      </c>
      <c r="AL47" s="358" t="s">
        <v>98</v>
      </c>
      <c r="AM47" s="358" t="s">
        <v>98</v>
      </c>
      <c r="AN47" s="358" t="s">
        <v>98</v>
      </c>
      <c r="AO47" s="358" t="s">
        <v>98</v>
      </c>
      <c r="AP47" s="358" t="s">
        <v>98</v>
      </c>
      <c r="AQ47" s="61"/>
      <c r="AR47" s="388" t="s">
        <v>458</v>
      </c>
      <c r="AS47" s="388" t="s">
        <v>458</v>
      </c>
      <c r="AT47" s="388" t="s">
        <v>458</v>
      </c>
      <c r="AU47" s="388" t="s">
        <v>458</v>
      </c>
      <c r="AV47" s="388" t="s">
        <v>458</v>
      </c>
      <c r="AW47" s="388" t="s">
        <v>458</v>
      </c>
      <c r="AX47" s="388" t="s">
        <v>458</v>
      </c>
      <c r="AY47" s="388" t="s">
        <v>458</v>
      </c>
      <c r="AZ47" s="374" t="s">
        <v>459</v>
      </c>
      <c r="BA47" s="374" t="s">
        <v>458</v>
      </c>
      <c r="BB47" s="411" t="s">
        <v>471</v>
      </c>
      <c r="BC47" s="374" t="s">
        <v>459</v>
      </c>
      <c r="BD47" s="374" t="s">
        <v>459</v>
      </c>
      <c r="BE47" s="61"/>
      <c r="BF47" s="388" t="s">
        <v>458</v>
      </c>
      <c r="BG47" s="388" t="s">
        <v>458</v>
      </c>
      <c r="BH47" s="388" t="s">
        <v>458</v>
      </c>
      <c r="BI47" s="388" t="s">
        <v>458</v>
      </c>
      <c r="BJ47" s="388" t="s">
        <v>458</v>
      </c>
      <c r="BK47" s="388" t="s">
        <v>458</v>
      </c>
      <c r="BL47" s="388" t="s">
        <v>458</v>
      </c>
      <c r="BM47" s="388" t="s">
        <v>458</v>
      </c>
      <c r="BN47" s="388" t="s">
        <v>458</v>
      </c>
      <c r="BO47" s="388" t="s">
        <v>458</v>
      </c>
      <c r="BP47" s="374" t="s">
        <v>459</v>
      </c>
      <c r="BQ47" s="374" t="s">
        <v>459</v>
      </c>
      <c r="BR47" s="374" t="s">
        <v>459</v>
      </c>
      <c r="BS47" s="27"/>
      <c r="BT47" s="354" t="s">
        <v>461</v>
      </c>
      <c r="BU47" s="354" t="s">
        <v>461</v>
      </c>
      <c r="BV47" s="354" t="s">
        <v>461</v>
      </c>
      <c r="BW47" s="354" t="s">
        <v>461</v>
      </c>
      <c r="BX47" s="354" t="s">
        <v>461</v>
      </c>
      <c r="BY47" s="354" t="s">
        <v>461</v>
      </c>
      <c r="BZ47" s="354" t="s">
        <v>461</v>
      </c>
      <c r="CA47" s="354" t="s">
        <v>461</v>
      </c>
      <c r="CB47" s="358" t="s">
        <v>98</v>
      </c>
      <c r="CC47" s="358" t="s">
        <v>98</v>
      </c>
      <c r="CD47" s="358" t="s">
        <v>98</v>
      </c>
      <c r="CE47" s="358" t="s">
        <v>98</v>
      </c>
      <c r="CF47" s="358" t="s">
        <v>98</v>
      </c>
      <c r="CG47" s="61"/>
      <c r="CH47" s="388" t="s">
        <v>458</v>
      </c>
      <c r="CI47" s="388" t="s">
        <v>458</v>
      </c>
      <c r="CJ47" s="388" t="s">
        <v>458</v>
      </c>
      <c r="CK47" s="388" t="s">
        <v>458</v>
      </c>
      <c r="CL47" s="388" t="s">
        <v>458</v>
      </c>
      <c r="CM47" s="388" t="s">
        <v>458</v>
      </c>
      <c r="CN47" s="388" t="s">
        <v>458</v>
      </c>
      <c r="CO47" s="388" t="s">
        <v>458</v>
      </c>
      <c r="CP47" s="388" t="s">
        <v>459</v>
      </c>
      <c r="CQ47" s="388" t="s">
        <v>458</v>
      </c>
      <c r="CR47" s="374" t="s">
        <v>459</v>
      </c>
      <c r="CS47" s="374" t="s">
        <v>459</v>
      </c>
      <c r="CT47" s="374" t="s">
        <v>459</v>
      </c>
      <c r="CU47" s="61"/>
      <c r="CV47" s="388" t="s">
        <v>458</v>
      </c>
      <c r="CW47" s="388" t="s">
        <v>458</v>
      </c>
      <c r="CX47" s="388" t="s">
        <v>458</v>
      </c>
      <c r="CY47" s="388" t="s">
        <v>458</v>
      </c>
      <c r="CZ47" s="388" t="s">
        <v>458</v>
      </c>
      <c r="DA47" s="388" t="s">
        <v>458</v>
      </c>
      <c r="DB47" s="388" t="s">
        <v>458</v>
      </c>
      <c r="DC47" s="388" t="s">
        <v>458</v>
      </c>
      <c r="DD47" s="398" t="s">
        <v>459</v>
      </c>
      <c r="DE47" s="388" t="s">
        <v>458</v>
      </c>
      <c r="DF47" s="398" t="s">
        <v>459</v>
      </c>
      <c r="DG47" s="398" t="s">
        <v>459</v>
      </c>
      <c r="DH47" s="399" t="s">
        <v>459</v>
      </c>
    </row>
    <row r="48" spans="1:112" ht="89.25">
      <c r="A48" s="708" t="s">
        <v>70</v>
      </c>
      <c r="B48" s="354" t="s">
        <v>461</v>
      </c>
      <c r="C48" s="354" t="s">
        <v>461</v>
      </c>
      <c r="D48" s="354" t="s">
        <v>461</v>
      </c>
      <c r="E48" s="354" t="s">
        <v>461</v>
      </c>
      <c r="F48" s="354" t="s">
        <v>461</v>
      </c>
      <c r="G48" s="354" t="s">
        <v>461</v>
      </c>
      <c r="H48" s="354" t="s">
        <v>461</v>
      </c>
      <c r="I48" s="354" t="s">
        <v>461</v>
      </c>
      <c r="J48" s="358" t="s">
        <v>98</v>
      </c>
      <c r="K48" s="358" t="s">
        <v>98</v>
      </c>
      <c r="L48" s="358" t="s">
        <v>98</v>
      </c>
      <c r="M48" s="358" t="s">
        <v>98</v>
      </c>
      <c r="N48" s="358" t="s">
        <v>98</v>
      </c>
      <c r="P48" s="354" t="s">
        <v>461</v>
      </c>
      <c r="Q48" s="354" t="s">
        <v>461</v>
      </c>
      <c r="R48" s="354" t="s">
        <v>461</v>
      </c>
      <c r="S48" s="354" t="s">
        <v>461</v>
      </c>
      <c r="T48" s="351" t="s">
        <v>458</v>
      </c>
      <c r="U48" s="352" t="s">
        <v>458</v>
      </c>
      <c r="V48" s="351" t="s">
        <v>458</v>
      </c>
      <c r="W48" s="352" t="s">
        <v>458</v>
      </c>
      <c r="X48" s="362" t="s">
        <v>459</v>
      </c>
      <c r="Y48" s="351" t="s">
        <v>458</v>
      </c>
      <c r="Z48" s="370" t="s">
        <v>459</v>
      </c>
      <c r="AA48" s="370" t="s">
        <v>459</v>
      </c>
      <c r="AB48" s="370" t="s">
        <v>459</v>
      </c>
      <c r="AD48" s="354" t="s">
        <v>461</v>
      </c>
      <c r="AE48" s="354" t="s">
        <v>461</v>
      </c>
      <c r="AF48" s="354" t="s">
        <v>461</v>
      </c>
      <c r="AG48" s="354" t="s">
        <v>461</v>
      </c>
      <c r="AH48" s="354" t="s">
        <v>461</v>
      </c>
      <c r="AI48" s="354" t="s">
        <v>461</v>
      </c>
      <c r="AJ48" s="354" t="s">
        <v>461</v>
      </c>
      <c r="AK48" s="354" t="s">
        <v>461</v>
      </c>
      <c r="AL48" s="358" t="s">
        <v>98</v>
      </c>
      <c r="AM48" s="358" t="s">
        <v>98</v>
      </c>
      <c r="AN48" s="358" t="s">
        <v>98</v>
      </c>
      <c r="AO48" s="358" t="s">
        <v>98</v>
      </c>
      <c r="AP48" s="358" t="s">
        <v>98</v>
      </c>
      <c r="AQ48" s="61"/>
      <c r="AR48" s="388" t="s">
        <v>458</v>
      </c>
      <c r="AS48" s="388" t="s">
        <v>458</v>
      </c>
      <c r="AT48" s="388" t="s">
        <v>458</v>
      </c>
      <c r="AU48" s="388" t="s">
        <v>458</v>
      </c>
      <c r="AV48" s="388" t="s">
        <v>458</v>
      </c>
      <c r="AW48" s="388" t="s">
        <v>458</v>
      </c>
      <c r="AX48" s="388" t="s">
        <v>458</v>
      </c>
      <c r="AY48" s="388" t="s">
        <v>458</v>
      </c>
      <c r="AZ48" s="374" t="s">
        <v>459</v>
      </c>
      <c r="BA48" s="374" t="s">
        <v>458</v>
      </c>
      <c r="BB48" s="411" t="s">
        <v>471</v>
      </c>
      <c r="BC48" s="374" t="s">
        <v>459</v>
      </c>
      <c r="BD48" s="374" t="s">
        <v>459</v>
      </c>
      <c r="BE48" s="61"/>
      <c r="BF48" s="388" t="s">
        <v>458</v>
      </c>
      <c r="BG48" s="388" t="s">
        <v>458</v>
      </c>
      <c r="BH48" s="388" t="s">
        <v>458</v>
      </c>
      <c r="BI48" s="388" t="s">
        <v>458</v>
      </c>
      <c r="BJ48" s="388" t="s">
        <v>458</v>
      </c>
      <c r="BK48" s="388" t="s">
        <v>458</v>
      </c>
      <c r="BL48" s="388" t="s">
        <v>458</v>
      </c>
      <c r="BM48" s="388" t="s">
        <v>458</v>
      </c>
      <c r="BN48" s="388" t="s">
        <v>458</v>
      </c>
      <c r="BO48" s="388" t="s">
        <v>458</v>
      </c>
      <c r="BP48" s="374" t="s">
        <v>459</v>
      </c>
      <c r="BQ48" s="374" t="s">
        <v>459</v>
      </c>
      <c r="BR48" s="374" t="s">
        <v>459</v>
      </c>
      <c r="BS48" s="27"/>
      <c r="BT48" s="354" t="s">
        <v>461</v>
      </c>
      <c r="BU48" s="354" t="s">
        <v>461</v>
      </c>
      <c r="BV48" s="354" t="s">
        <v>461</v>
      </c>
      <c r="BW48" s="354" t="s">
        <v>461</v>
      </c>
      <c r="BX48" s="354" t="s">
        <v>461</v>
      </c>
      <c r="BY48" s="354" t="s">
        <v>461</v>
      </c>
      <c r="BZ48" s="354" t="s">
        <v>461</v>
      </c>
      <c r="CA48" s="354" t="s">
        <v>461</v>
      </c>
      <c r="CB48" s="358" t="s">
        <v>98</v>
      </c>
      <c r="CC48" s="358" t="s">
        <v>98</v>
      </c>
      <c r="CD48" s="358" t="s">
        <v>98</v>
      </c>
      <c r="CE48" s="358" t="s">
        <v>98</v>
      </c>
      <c r="CF48" s="358" t="s">
        <v>98</v>
      </c>
      <c r="CG48" s="61"/>
      <c r="CH48" s="388" t="s">
        <v>458</v>
      </c>
      <c r="CI48" s="388" t="s">
        <v>458</v>
      </c>
      <c r="CJ48" s="388" t="s">
        <v>458</v>
      </c>
      <c r="CK48" s="388" t="s">
        <v>458</v>
      </c>
      <c r="CL48" s="388" t="s">
        <v>458</v>
      </c>
      <c r="CM48" s="388" t="s">
        <v>458</v>
      </c>
      <c r="CN48" s="388" t="s">
        <v>458</v>
      </c>
      <c r="CO48" s="388" t="s">
        <v>458</v>
      </c>
      <c r="CP48" s="388" t="s">
        <v>459</v>
      </c>
      <c r="CQ48" s="388" t="s">
        <v>458</v>
      </c>
      <c r="CR48" s="374" t="s">
        <v>459</v>
      </c>
      <c r="CS48" s="374" t="s">
        <v>459</v>
      </c>
      <c r="CT48" s="374" t="s">
        <v>459</v>
      </c>
      <c r="CU48" s="61"/>
      <c r="CV48" s="388" t="s">
        <v>458</v>
      </c>
      <c r="CW48" s="388" t="s">
        <v>458</v>
      </c>
      <c r="CX48" s="388" t="s">
        <v>458</v>
      </c>
      <c r="CY48" s="388" t="s">
        <v>458</v>
      </c>
      <c r="CZ48" s="388" t="s">
        <v>458</v>
      </c>
      <c r="DA48" s="388" t="s">
        <v>458</v>
      </c>
      <c r="DB48" s="388" t="s">
        <v>458</v>
      </c>
      <c r="DC48" s="388" t="s">
        <v>458</v>
      </c>
      <c r="DD48" s="398" t="s">
        <v>459</v>
      </c>
      <c r="DE48" s="388" t="s">
        <v>458</v>
      </c>
      <c r="DF48" s="398" t="s">
        <v>459</v>
      </c>
      <c r="DG48" s="398" t="s">
        <v>459</v>
      </c>
      <c r="DH48" s="399" t="s">
        <v>459</v>
      </c>
    </row>
    <row r="49" spans="1:112" ht="89.25">
      <c r="A49" s="708" t="s">
        <v>17</v>
      </c>
      <c r="B49" s="354" t="s">
        <v>461</v>
      </c>
      <c r="C49" s="354" t="s">
        <v>461</v>
      </c>
      <c r="D49" s="354" t="s">
        <v>461</v>
      </c>
      <c r="E49" s="354" t="s">
        <v>461</v>
      </c>
      <c r="F49" s="354" t="s">
        <v>461</v>
      </c>
      <c r="G49" s="354" t="s">
        <v>461</v>
      </c>
      <c r="H49" s="354" t="s">
        <v>461</v>
      </c>
      <c r="I49" s="354" t="s">
        <v>461</v>
      </c>
      <c r="J49" s="358" t="s">
        <v>98</v>
      </c>
      <c r="K49" s="358" t="s">
        <v>98</v>
      </c>
      <c r="L49" s="358" t="s">
        <v>98</v>
      </c>
      <c r="M49" s="358" t="s">
        <v>98</v>
      </c>
      <c r="N49" s="358" t="s">
        <v>98</v>
      </c>
      <c r="P49" s="354" t="s">
        <v>461</v>
      </c>
      <c r="Q49" s="354" t="s">
        <v>461</v>
      </c>
      <c r="R49" s="354" t="s">
        <v>461</v>
      </c>
      <c r="S49" s="354" t="s">
        <v>461</v>
      </c>
      <c r="T49" s="351" t="s">
        <v>458</v>
      </c>
      <c r="U49" s="352" t="s">
        <v>458</v>
      </c>
      <c r="V49" s="351" t="s">
        <v>458</v>
      </c>
      <c r="W49" s="352" t="s">
        <v>458</v>
      </c>
      <c r="X49" s="362" t="s">
        <v>459</v>
      </c>
      <c r="Y49" s="351" t="s">
        <v>458</v>
      </c>
      <c r="Z49" s="370" t="s">
        <v>459</v>
      </c>
      <c r="AA49" s="370" t="s">
        <v>459</v>
      </c>
      <c r="AB49" s="370" t="s">
        <v>459</v>
      </c>
      <c r="AD49" s="354" t="s">
        <v>461</v>
      </c>
      <c r="AE49" s="354" t="s">
        <v>461</v>
      </c>
      <c r="AF49" s="354" t="s">
        <v>461</v>
      </c>
      <c r="AG49" s="354" t="s">
        <v>461</v>
      </c>
      <c r="AH49" s="354" t="s">
        <v>461</v>
      </c>
      <c r="AI49" s="354" t="s">
        <v>461</v>
      </c>
      <c r="AJ49" s="354" t="s">
        <v>461</v>
      </c>
      <c r="AK49" s="354" t="s">
        <v>461</v>
      </c>
      <c r="AL49" s="358" t="s">
        <v>98</v>
      </c>
      <c r="AM49" s="358" t="s">
        <v>98</v>
      </c>
      <c r="AN49" s="358" t="s">
        <v>98</v>
      </c>
      <c r="AO49" s="358" t="s">
        <v>98</v>
      </c>
      <c r="AP49" s="358" t="s">
        <v>98</v>
      </c>
      <c r="AQ49" s="61"/>
      <c r="AR49" s="388" t="s">
        <v>458</v>
      </c>
      <c r="AS49" s="388" t="s">
        <v>458</v>
      </c>
      <c r="AT49" s="388" t="s">
        <v>458</v>
      </c>
      <c r="AU49" s="388" t="s">
        <v>458</v>
      </c>
      <c r="AV49" s="388" t="s">
        <v>458</v>
      </c>
      <c r="AW49" s="388" t="s">
        <v>458</v>
      </c>
      <c r="AX49" s="388" t="s">
        <v>458</v>
      </c>
      <c r="AY49" s="388" t="s">
        <v>458</v>
      </c>
      <c r="AZ49" s="374" t="s">
        <v>459</v>
      </c>
      <c r="BA49" s="374" t="s">
        <v>458</v>
      </c>
      <c r="BB49" s="411" t="s">
        <v>471</v>
      </c>
      <c r="BC49" s="374" t="s">
        <v>459</v>
      </c>
      <c r="BD49" s="374" t="s">
        <v>459</v>
      </c>
      <c r="BE49" s="61"/>
      <c r="BF49" s="388" t="s">
        <v>458</v>
      </c>
      <c r="BG49" s="388" t="s">
        <v>458</v>
      </c>
      <c r="BH49" s="388" t="s">
        <v>458</v>
      </c>
      <c r="BI49" s="388" t="s">
        <v>458</v>
      </c>
      <c r="BJ49" s="388" t="s">
        <v>458</v>
      </c>
      <c r="BK49" s="388" t="s">
        <v>458</v>
      </c>
      <c r="BL49" s="388" t="s">
        <v>458</v>
      </c>
      <c r="BM49" s="388" t="s">
        <v>458</v>
      </c>
      <c r="BN49" s="388" t="s">
        <v>458</v>
      </c>
      <c r="BO49" s="388" t="s">
        <v>458</v>
      </c>
      <c r="BP49" s="374" t="s">
        <v>459</v>
      </c>
      <c r="BQ49" s="374" t="s">
        <v>459</v>
      </c>
      <c r="BR49" s="374" t="s">
        <v>459</v>
      </c>
      <c r="BS49" s="27"/>
      <c r="BT49" s="354" t="s">
        <v>461</v>
      </c>
      <c r="BU49" s="354" t="s">
        <v>461</v>
      </c>
      <c r="BV49" s="354" t="s">
        <v>461</v>
      </c>
      <c r="BW49" s="354" t="s">
        <v>461</v>
      </c>
      <c r="BX49" s="354" t="s">
        <v>461</v>
      </c>
      <c r="BY49" s="354" t="s">
        <v>461</v>
      </c>
      <c r="BZ49" s="354" t="s">
        <v>461</v>
      </c>
      <c r="CA49" s="354" t="s">
        <v>461</v>
      </c>
      <c r="CB49" s="358" t="s">
        <v>98</v>
      </c>
      <c r="CC49" s="358" t="s">
        <v>98</v>
      </c>
      <c r="CD49" s="358" t="s">
        <v>98</v>
      </c>
      <c r="CE49" s="358" t="s">
        <v>98</v>
      </c>
      <c r="CF49" s="358" t="s">
        <v>98</v>
      </c>
      <c r="CG49" s="61"/>
      <c r="CH49" s="388" t="s">
        <v>458</v>
      </c>
      <c r="CI49" s="388" t="s">
        <v>458</v>
      </c>
      <c r="CJ49" s="388" t="s">
        <v>458</v>
      </c>
      <c r="CK49" s="388" t="s">
        <v>458</v>
      </c>
      <c r="CL49" s="388" t="s">
        <v>458</v>
      </c>
      <c r="CM49" s="388" t="s">
        <v>458</v>
      </c>
      <c r="CN49" s="388" t="s">
        <v>458</v>
      </c>
      <c r="CO49" s="388" t="s">
        <v>458</v>
      </c>
      <c r="CP49" s="388" t="s">
        <v>459</v>
      </c>
      <c r="CQ49" s="388" t="s">
        <v>458</v>
      </c>
      <c r="CR49" s="374" t="s">
        <v>459</v>
      </c>
      <c r="CS49" s="374" t="s">
        <v>459</v>
      </c>
      <c r="CT49" s="374" t="s">
        <v>459</v>
      </c>
      <c r="CU49" s="61"/>
      <c r="CV49" s="388" t="s">
        <v>458</v>
      </c>
      <c r="CW49" s="388" t="s">
        <v>458</v>
      </c>
      <c r="CX49" s="388" t="s">
        <v>458</v>
      </c>
      <c r="CY49" s="388" t="s">
        <v>458</v>
      </c>
      <c r="CZ49" s="388" t="s">
        <v>458</v>
      </c>
      <c r="DA49" s="388" t="s">
        <v>458</v>
      </c>
      <c r="DB49" s="388" t="s">
        <v>458</v>
      </c>
      <c r="DC49" s="388" t="s">
        <v>458</v>
      </c>
      <c r="DD49" s="398" t="s">
        <v>459</v>
      </c>
      <c r="DE49" s="388" t="s">
        <v>458</v>
      </c>
      <c r="DF49" s="398" t="s">
        <v>459</v>
      </c>
      <c r="DG49" s="398" t="s">
        <v>459</v>
      </c>
      <c r="DH49" s="399" t="s">
        <v>459</v>
      </c>
    </row>
    <row r="50" spans="1:112" ht="89.25">
      <c r="A50" s="708" t="s">
        <v>18</v>
      </c>
      <c r="B50" s="354" t="s">
        <v>461</v>
      </c>
      <c r="C50" s="354" t="s">
        <v>461</v>
      </c>
      <c r="D50" s="354" t="s">
        <v>461</v>
      </c>
      <c r="E50" s="354" t="s">
        <v>461</v>
      </c>
      <c r="F50" s="354" t="s">
        <v>461</v>
      </c>
      <c r="G50" s="354" t="s">
        <v>461</v>
      </c>
      <c r="H50" s="354" t="s">
        <v>461</v>
      </c>
      <c r="I50" s="354" t="s">
        <v>461</v>
      </c>
      <c r="J50" s="358" t="s">
        <v>98</v>
      </c>
      <c r="K50" s="358" t="s">
        <v>98</v>
      </c>
      <c r="L50" s="358" t="s">
        <v>98</v>
      </c>
      <c r="M50" s="358" t="s">
        <v>98</v>
      </c>
      <c r="N50" s="358" t="s">
        <v>98</v>
      </c>
      <c r="P50" s="354" t="s">
        <v>461</v>
      </c>
      <c r="Q50" s="354" t="s">
        <v>461</v>
      </c>
      <c r="R50" s="354" t="s">
        <v>461</v>
      </c>
      <c r="S50" s="354" t="s">
        <v>461</v>
      </c>
      <c r="T50" s="351" t="s">
        <v>458</v>
      </c>
      <c r="U50" s="352" t="s">
        <v>458</v>
      </c>
      <c r="V50" s="351" t="s">
        <v>458</v>
      </c>
      <c r="W50" s="352" t="s">
        <v>458</v>
      </c>
      <c r="X50" s="362" t="s">
        <v>459</v>
      </c>
      <c r="Y50" s="351" t="s">
        <v>462</v>
      </c>
      <c r="Z50" s="370" t="s">
        <v>459</v>
      </c>
      <c r="AA50" s="370" t="s">
        <v>459</v>
      </c>
      <c r="AB50" s="370" t="s">
        <v>459</v>
      </c>
      <c r="AD50" s="354" t="s">
        <v>461</v>
      </c>
      <c r="AE50" s="354" t="s">
        <v>461</v>
      </c>
      <c r="AF50" s="354" t="s">
        <v>461</v>
      </c>
      <c r="AG50" s="354" t="s">
        <v>461</v>
      </c>
      <c r="AH50" s="354" t="s">
        <v>461</v>
      </c>
      <c r="AI50" s="354" t="s">
        <v>461</v>
      </c>
      <c r="AJ50" s="354" t="s">
        <v>461</v>
      </c>
      <c r="AK50" s="354" t="s">
        <v>461</v>
      </c>
      <c r="AL50" s="358" t="s">
        <v>98</v>
      </c>
      <c r="AM50" s="358" t="s">
        <v>98</v>
      </c>
      <c r="AN50" s="358" t="s">
        <v>98</v>
      </c>
      <c r="AO50" s="358" t="s">
        <v>98</v>
      </c>
      <c r="AP50" s="358" t="s">
        <v>98</v>
      </c>
      <c r="AQ50" s="61"/>
      <c r="AR50" s="388" t="s">
        <v>458</v>
      </c>
      <c r="AS50" s="388" t="s">
        <v>458</v>
      </c>
      <c r="AT50" s="388" t="s">
        <v>458</v>
      </c>
      <c r="AU50" s="388" t="s">
        <v>458</v>
      </c>
      <c r="AV50" s="388" t="s">
        <v>458</v>
      </c>
      <c r="AW50" s="388" t="s">
        <v>458</v>
      </c>
      <c r="AX50" s="388" t="s">
        <v>458</v>
      </c>
      <c r="AY50" s="388" t="s">
        <v>458</v>
      </c>
      <c r="AZ50" s="374" t="s">
        <v>459</v>
      </c>
      <c r="BA50" s="374" t="s">
        <v>458</v>
      </c>
      <c r="BB50" s="411" t="s">
        <v>471</v>
      </c>
      <c r="BC50" s="374" t="s">
        <v>459</v>
      </c>
      <c r="BD50" s="374" t="s">
        <v>459</v>
      </c>
      <c r="BE50" s="61"/>
      <c r="BF50" s="388" t="s">
        <v>458</v>
      </c>
      <c r="BG50" s="388" t="s">
        <v>458</v>
      </c>
      <c r="BH50" s="388" t="s">
        <v>458</v>
      </c>
      <c r="BI50" s="388" t="s">
        <v>458</v>
      </c>
      <c r="BJ50" s="388" t="s">
        <v>458</v>
      </c>
      <c r="BK50" s="388" t="s">
        <v>458</v>
      </c>
      <c r="BL50" s="388" t="s">
        <v>458</v>
      </c>
      <c r="BM50" s="388" t="s">
        <v>458</v>
      </c>
      <c r="BN50" s="388" t="s">
        <v>458</v>
      </c>
      <c r="BO50" s="388" t="s">
        <v>458</v>
      </c>
      <c r="BP50" s="374" t="s">
        <v>459</v>
      </c>
      <c r="BQ50" s="374" t="s">
        <v>459</v>
      </c>
      <c r="BR50" s="374" t="s">
        <v>459</v>
      </c>
      <c r="BS50" s="27"/>
      <c r="BT50" s="354" t="s">
        <v>461</v>
      </c>
      <c r="BU50" s="354" t="s">
        <v>461</v>
      </c>
      <c r="BV50" s="354" t="s">
        <v>461</v>
      </c>
      <c r="BW50" s="354" t="s">
        <v>461</v>
      </c>
      <c r="BX50" s="354" t="s">
        <v>461</v>
      </c>
      <c r="BY50" s="354" t="s">
        <v>461</v>
      </c>
      <c r="BZ50" s="354" t="s">
        <v>461</v>
      </c>
      <c r="CA50" s="354" t="s">
        <v>461</v>
      </c>
      <c r="CB50" s="358" t="s">
        <v>98</v>
      </c>
      <c r="CC50" s="358" t="s">
        <v>98</v>
      </c>
      <c r="CD50" s="358" t="s">
        <v>98</v>
      </c>
      <c r="CE50" s="358" t="s">
        <v>98</v>
      </c>
      <c r="CF50" s="358" t="s">
        <v>98</v>
      </c>
      <c r="CG50" s="61"/>
      <c r="CH50" s="388" t="s">
        <v>458</v>
      </c>
      <c r="CI50" s="388" t="s">
        <v>458</v>
      </c>
      <c r="CJ50" s="388" t="s">
        <v>458</v>
      </c>
      <c r="CK50" s="388" t="s">
        <v>458</v>
      </c>
      <c r="CL50" s="388" t="s">
        <v>458</v>
      </c>
      <c r="CM50" s="388" t="s">
        <v>458</v>
      </c>
      <c r="CN50" s="388" t="s">
        <v>458</v>
      </c>
      <c r="CO50" s="388" t="s">
        <v>458</v>
      </c>
      <c r="CP50" s="388" t="s">
        <v>459</v>
      </c>
      <c r="CQ50" s="389" t="s">
        <v>540</v>
      </c>
      <c r="CR50" s="374" t="s">
        <v>459</v>
      </c>
      <c r="CS50" s="374" t="s">
        <v>459</v>
      </c>
      <c r="CT50" s="374" t="s">
        <v>459</v>
      </c>
      <c r="CU50" s="61"/>
      <c r="CV50" s="388" t="s">
        <v>458</v>
      </c>
      <c r="CW50" s="388" t="s">
        <v>458</v>
      </c>
      <c r="CX50" s="388" t="s">
        <v>458</v>
      </c>
      <c r="CY50" s="388" t="s">
        <v>458</v>
      </c>
      <c r="CZ50" s="388" t="s">
        <v>458</v>
      </c>
      <c r="DA50" s="388" t="s">
        <v>458</v>
      </c>
      <c r="DB50" s="388" t="s">
        <v>458</v>
      </c>
      <c r="DC50" s="388" t="s">
        <v>458</v>
      </c>
      <c r="DD50" s="398" t="s">
        <v>459</v>
      </c>
      <c r="DE50" s="388" t="s">
        <v>458</v>
      </c>
      <c r="DF50" s="398" t="s">
        <v>459</v>
      </c>
      <c r="DG50" s="398" t="s">
        <v>459</v>
      </c>
      <c r="DH50" s="399" t="s">
        <v>459</v>
      </c>
    </row>
    <row r="51" spans="1:112" ht="89.25">
      <c r="A51" s="708" t="s">
        <v>19</v>
      </c>
      <c r="B51" s="354" t="s">
        <v>461</v>
      </c>
      <c r="C51" s="354" t="s">
        <v>461</v>
      </c>
      <c r="D51" s="354" t="s">
        <v>461</v>
      </c>
      <c r="E51" s="354" t="s">
        <v>461</v>
      </c>
      <c r="F51" s="354" t="s">
        <v>461</v>
      </c>
      <c r="G51" s="354" t="s">
        <v>461</v>
      </c>
      <c r="H51" s="354" t="s">
        <v>461</v>
      </c>
      <c r="I51" s="354" t="s">
        <v>461</v>
      </c>
      <c r="J51" s="358" t="s">
        <v>98</v>
      </c>
      <c r="K51" s="358" t="s">
        <v>98</v>
      </c>
      <c r="L51" s="358" t="s">
        <v>98</v>
      </c>
      <c r="M51" s="358" t="s">
        <v>98</v>
      </c>
      <c r="N51" s="358" t="s">
        <v>98</v>
      </c>
      <c r="P51" s="354" t="s">
        <v>461</v>
      </c>
      <c r="Q51" s="354" t="s">
        <v>461</v>
      </c>
      <c r="R51" s="354" t="s">
        <v>461</v>
      </c>
      <c r="S51" s="354" t="s">
        <v>461</v>
      </c>
      <c r="T51" s="351" t="s">
        <v>458</v>
      </c>
      <c r="U51" s="352" t="s">
        <v>458</v>
      </c>
      <c r="V51" s="351" t="s">
        <v>458</v>
      </c>
      <c r="W51" s="352" t="s">
        <v>458</v>
      </c>
      <c r="X51" s="362" t="s">
        <v>459</v>
      </c>
      <c r="Y51" s="355" t="s">
        <v>458</v>
      </c>
      <c r="Z51" s="370" t="s">
        <v>459</v>
      </c>
      <c r="AA51" s="370" t="s">
        <v>459</v>
      </c>
      <c r="AB51" s="370" t="s">
        <v>459</v>
      </c>
      <c r="AD51" s="354" t="s">
        <v>461</v>
      </c>
      <c r="AE51" s="354" t="s">
        <v>461</v>
      </c>
      <c r="AF51" s="354" t="s">
        <v>461</v>
      </c>
      <c r="AG51" s="354" t="s">
        <v>461</v>
      </c>
      <c r="AH51" s="354" t="s">
        <v>461</v>
      </c>
      <c r="AI51" s="354" t="s">
        <v>461</v>
      </c>
      <c r="AJ51" s="354" t="s">
        <v>461</v>
      </c>
      <c r="AK51" s="354" t="s">
        <v>461</v>
      </c>
      <c r="AL51" s="358" t="s">
        <v>98</v>
      </c>
      <c r="AM51" s="358" t="s">
        <v>98</v>
      </c>
      <c r="AN51" s="358" t="s">
        <v>98</v>
      </c>
      <c r="AO51" s="358" t="s">
        <v>98</v>
      </c>
      <c r="AP51" s="358" t="s">
        <v>98</v>
      </c>
      <c r="AQ51" s="387"/>
      <c r="AR51" s="388" t="s">
        <v>458</v>
      </c>
      <c r="AS51" s="388" t="s">
        <v>458</v>
      </c>
      <c r="AT51" s="388" t="s">
        <v>458</v>
      </c>
      <c r="AU51" s="388" t="s">
        <v>458</v>
      </c>
      <c r="AV51" s="388" t="s">
        <v>458</v>
      </c>
      <c r="AW51" s="388" t="s">
        <v>458</v>
      </c>
      <c r="AX51" s="388" t="s">
        <v>458</v>
      </c>
      <c r="AY51" s="388" t="s">
        <v>458</v>
      </c>
      <c r="AZ51" s="374" t="s">
        <v>459</v>
      </c>
      <c r="BA51" s="374" t="s">
        <v>458</v>
      </c>
      <c r="BB51" s="411" t="s">
        <v>471</v>
      </c>
      <c r="BC51" s="374" t="s">
        <v>459</v>
      </c>
      <c r="BD51" s="374" t="s">
        <v>459</v>
      </c>
      <c r="BE51" s="387"/>
      <c r="BF51" s="388" t="s">
        <v>458</v>
      </c>
      <c r="BG51" s="388" t="s">
        <v>458</v>
      </c>
      <c r="BH51" s="388" t="s">
        <v>458</v>
      </c>
      <c r="BI51" s="388" t="s">
        <v>458</v>
      </c>
      <c r="BJ51" s="388" t="s">
        <v>458</v>
      </c>
      <c r="BK51" s="388" t="s">
        <v>458</v>
      </c>
      <c r="BL51" s="388" t="s">
        <v>458</v>
      </c>
      <c r="BM51" s="388" t="s">
        <v>458</v>
      </c>
      <c r="BN51" s="388" t="s">
        <v>458</v>
      </c>
      <c r="BO51" s="388" t="s">
        <v>458</v>
      </c>
      <c r="BP51" s="374" t="s">
        <v>459</v>
      </c>
      <c r="BQ51" s="374" t="s">
        <v>459</v>
      </c>
      <c r="BR51" s="374" t="s">
        <v>459</v>
      </c>
      <c r="BS51" s="28"/>
      <c r="BT51" s="354" t="s">
        <v>461</v>
      </c>
      <c r="BU51" s="354" t="s">
        <v>461</v>
      </c>
      <c r="BV51" s="354" t="s">
        <v>461</v>
      </c>
      <c r="BW51" s="354" t="s">
        <v>461</v>
      </c>
      <c r="BX51" s="354" t="s">
        <v>461</v>
      </c>
      <c r="BY51" s="354" t="s">
        <v>461</v>
      </c>
      <c r="BZ51" s="354" t="s">
        <v>461</v>
      </c>
      <c r="CA51" s="354" t="s">
        <v>461</v>
      </c>
      <c r="CB51" s="358" t="s">
        <v>98</v>
      </c>
      <c r="CC51" s="358" t="s">
        <v>98</v>
      </c>
      <c r="CD51" s="358" t="s">
        <v>98</v>
      </c>
      <c r="CE51" s="358" t="s">
        <v>98</v>
      </c>
      <c r="CF51" s="358" t="s">
        <v>98</v>
      </c>
      <c r="CG51" s="387"/>
      <c r="CH51" s="388" t="s">
        <v>458</v>
      </c>
      <c r="CI51" s="388" t="s">
        <v>458</v>
      </c>
      <c r="CJ51" s="388" t="s">
        <v>458</v>
      </c>
      <c r="CK51" s="388" t="s">
        <v>458</v>
      </c>
      <c r="CL51" s="388" t="s">
        <v>458</v>
      </c>
      <c r="CM51" s="388" t="s">
        <v>458</v>
      </c>
      <c r="CN51" s="388" t="s">
        <v>458</v>
      </c>
      <c r="CO51" s="388" t="s">
        <v>458</v>
      </c>
      <c r="CP51" s="388" t="s">
        <v>459</v>
      </c>
      <c r="CQ51" s="388" t="s">
        <v>458</v>
      </c>
      <c r="CR51" s="374" t="s">
        <v>459</v>
      </c>
      <c r="CS51" s="374" t="s">
        <v>459</v>
      </c>
      <c r="CT51" s="374" t="s">
        <v>459</v>
      </c>
      <c r="CU51" s="387"/>
      <c r="CV51" s="388" t="s">
        <v>458</v>
      </c>
      <c r="CW51" s="388" t="s">
        <v>458</v>
      </c>
      <c r="CX51" s="388" t="s">
        <v>458</v>
      </c>
      <c r="CY51" s="388" t="s">
        <v>458</v>
      </c>
      <c r="CZ51" s="388" t="s">
        <v>458</v>
      </c>
      <c r="DA51" s="388" t="s">
        <v>458</v>
      </c>
      <c r="DB51" s="388" t="s">
        <v>458</v>
      </c>
      <c r="DC51" s="388" t="s">
        <v>458</v>
      </c>
      <c r="DD51" s="398" t="s">
        <v>459</v>
      </c>
      <c r="DE51" s="388" t="s">
        <v>458</v>
      </c>
      <c r="DF51" s="398" t="s">
        <v>459</v>
      </c>
      <c r="DG51" s="398" t="s">
        <v>459</v>
      </c>
      <c r="DH51" s="399" t="s">
        <v>459</v>
      </c>
    </row>
    <row r="52" spans="1:112" ht="89.25">
      <c r="A52" s="708" t="s">
        <v>20</v>
      </c>
      <c r="B52" s="354" t="s">
        <v>461</v>
      </c>
      <c r="C52" s="354" t="s">
        <v>461</v>
      </c>
      <c r="D52" s="354" t="s">
        <v>461</v>
      </c>
      <c r="E52" s="354" t="s">
        <v>461</v>
      </c>
      <c r="F52" s="354" t="s">
        <v>461</v>
      </c>
      <c r="G52" s="354" t="s">
        <v>461</v>
      </c>
      <c r="H52" s="354" t="s">
        <v>461</v>
      </c>
      <c r="I52" s="354" t="s">
        <v>461</v>
      </c>
      <c r="J52" s="358" t="s">
        <v>98</v>
      </c>
      <c r="K52" s="358" t="s">
        <v>98</v>
      </c>
      <c r="L52" s="358" t="s">
        <v>98</v>
      </c>
      <c r="M52" s="358" t="s">
        <v>98</v>
      </c>
      <c r="N52" s="358" t="s">
        <v>98</v>
      </c>
      <c r="P52" s="354" t="s">
        <v>461</v>
      </c>
      <c r="Q52" s="354" t="s">
        <v>461</v>
      </c>
      <c r="R52" s="354" t="s">
        <v>461</v>
      </c>
      <c r="S52" s="354" t="s">
        <v>461</v>
      </c>
      <c r="T52" s="351" t="s">
        <v>458</v>
      </c>
      <c r="U52" s="352" t="s">
        <v>458</v>
      </c>
      <c r="V52" s="351" t="s">
        <v>458</v>
      </c>
      <c r="W52" s="352" t="s">
        <v>458</v>
      </c>
      <c r="X52" s="362" t="s">
        <v>459</v>
      </c>
      <c r="Y52" s="351" t="s">
        <v>458</v>
      </c>
      <c r="Z52" s="370" t="s">
        <v>459</v>
      </c>
      <c r="AA52" s="370" t="s">
        <v>459</v>
      </c>
      <c r="AB52" s="370" t="s">
        <v>459</v>
      </c>
      <c r="AD52" s="354" t="s">
        <v>461</v>
      </c>
      <c r="AE52" s="354" t="s">
        <v>461</v>
      </c>
      <c r="AF52" s="354" t="s">
        <v>461</v>
      </c>
      <c r="AG52" s="354" t="s">
        <v>461</v>
      </c>
      <c r="AH52" s="354" t="s">
        <v>461</v>
      </c>
      <c r="AI52" s="354" t="s">
        <v>461</v>
      </c>
      <c r="AJ52" s="354" t="s">
        <v>461</v>
      </c>
      <c r="AK52" s="354" t="s">
        <v>461</v>
      </c>
      <c r="AL52" s="358" t="s">
        <v>98</v>
      </c>
      <c r="AM52" s="358" t="s">
        <v>98</v>
      </c>
      <c r="AN52" s="358" t="s">
        <v>98</v>
      </c>
      <c r="AO52" s="358" t="s">
        <v>98</v>
      </c>
      <c r="AP52" s="358" t="s">
        <v>98</v>
      </c>
      <c r="AQ52" s="387"/>
      <c r="AR52" s="388" t="s">
        <v>458</v>
      </c>
      <c r="AS52" s="388" t="s">
        <v>458</v>
      </c>
      <c r="AT52" s="388" t="s">
        <v>458</v>
      </c>
      <c r="AU52" s="388" t="s">
        <v>458</v>
      </c>
      <c r="AV52" s="388" t="s">
        <v>458</v>
      </c>
      <c r="AW52" s="388" t="s">
        <v>458</v>
      </c>
      <c r="AX52" s="388" t="s">
        <v>458</v>
      </c>
      <c r="AY52" s="388" t="s">
        <v>458</v>
      </c>
      <c r="AZ52" s="374" t="s">
        <v>459</v>
      </c>
      <c r="BA52" s="374" t="s">
        <v>458</v>
      </c>
      <c r="BB52" s="411" t="s">
        <v>471</v>
      </c>
      <c r="BC52" s="374" t="s">
        <v>459</v>
      </c>
      <c r="BD52" s="374" t="s">
        <v>459</v>
      </c>
      <c r="BE52" s="387"/>
      <c r="BF52" s="388" t="s">
        <v>458</v>
      </c>
      <c r="BG52" s="388" t="s">
        <v>458</v>
      </c>
      <c r="BH52" s="388" t="s">
        <v>458</v>
      </c>
      <c r="BI52" s="388" t="s">
        <v>458</v>
      </c>
      <c r="BJ52" s="388" t="s">
        <v>458</v>
      </c>
      <c r="BK52" s="388" t="s">
        <v>458</v>
      </c>
      <c r="BL52" s="388" t="s">
        <v>458</v>
      </c>
      <c r="BM52" s="388" t="s">
        <v>458</v>
      </c>
      <c r="BN52" s="388" t="s">
        <v>458</v>
      </c>
      <c r="BO52" s="388" t="s">
        <v>458</v>
      </c>
      <c r="BP52" s="374" t="s">
        <v>459</v>
      </c>
      <c r="BQ52" s="374" t="s">
        <v>459</v>
      </c>
      <c r="BR52" s="374" t="s">
        <v>459</v>
      </c>
      <c r="BS52" s="28"/>
      <c r="BT52" s="354" t="s">
        <v>461</v>
      </c>
      <c r="BU52" s="354" t="s">
        <v>461</v>
      </c>
      <c r="BV52" s="354" t="s">
        <v>461</v>
      </c>
      <c r="BW52" s="354" t="s">
        <v>461</v>
      </c>
      <c r="BX52" s="354" t="s">
        <v>461</v>
      </c>
      <c r="BY52" s="354" t="s">
        <v>461</v>
      </c>
      <c r="BZ52" s="354" t="s">
        <v>461</v>
      </c>
      <c r="CA52" s="354" t="s">
        <v>461</v>
      </c>
      <c r="CB52" s="358" t="s">
        <v>98</v>
      </c>
      <c r="CC52" s="358" t="s">
        <v>98</v>
      </c>
      <c r="CD52" s="358" t="s">
        <v>98</v>
      </c>
      <c r="CE52" s="358" t="s">
        <v>98</v>
      </c>
      <c r="CF52" s="358" t="s">
        <v>98</v>
      </c>
      <c r="CG52" s="387"/>
      <c r="CH52" s="388" t="s">
        <v>458</v>
      </c>
      <c r="CI52" s="388" t="s">
        <v>458</v>
      </c>
      <c r="CJ52" s="388" t="s">
        <v>458</v>
      </c>
      <c r="CK52" s="388" t="s">
        <v>458</v>
      </c>
      <c r="CL52" s="388" t="s">
        <v>458</v>
      </c>
      <c r="CM52" s="388" t="s">
        <v>458</v>
      </c>
      <c r="CN52" s="388" t="s">
        <v>458</v>
      </c>
      <c r="CO52" s="388" t="s">
        <v>458</v>
      </c>
      <c r="CP52" s="388" t="s">
        <v>459</v>
      </c>
      <c r="CQ52" s="388" t="s">
        <v>458</v>
      </c>
      <c r="CR52" s="374" t="s">
        <v>459</v>
      </c>
      <c r="CS52" s="374" t="s">
        <v>459</v>
      </c>
      <c r="CT52" s="374" t="s">
        <v>459</v>
      </c>
      <c r="CU52" s="387"/>
      <c r="CV52" s="388" t="s">
        <v>458</v>
      </c>
      <c r="CW52" s="388" t="s">
        <v>458</v>
      </c>
      <c r="CX52" s="388" t="s">
        <v>458</v>
      </c>
      <c r="CY52" s="388" t="s">
        <v>458</v>
      </c>
      <c r="CZ52" s="388" t="s">
        <v>458</v>
      </c>
      <c r="DA52" s="388" t="s">
        <v>458</v>
      </c>
      <c r="DB52" s="388" t="s">
        <v>458</v>
      </c>
      <c r="DC52" s="388" t="s">
        <v>458</v>
      </c>
      <c r="DD52" s="398" t="s">
        <v>459</v>
      </c>
      <c r="DE52" s="388" t="s">
        <v>458</v>
      </c>
      <c r="DF52" s="398" t="s">
        <v>459</v>
      </c>
      <c r="DG52" s="398" t="s">
        <v>459</v>
      </c>
      <c r="DH52" s="399" t="s">
        <v>459</v>
      </c>
    </row>
    <row r="53" spans="1:112" ht="89.25">
      <c r="A53" s="708" t="s">
        <v>57</v>
      </c>
      <c r="B53" s="354" t="s">
        <v>461</v>
      </c>
      <c r="C53" s="354" t="s">
        <v>461</v>
      </c>
      <c r="D53" s="354" t="s">
        <v>461</v>
      </c>
      <c r="E53" s="354" t="s">
        <v>461</v>
      </c>
      <c r="F53" s="354" t="s">
        <v>461</v>
      </c>
      <c r="G53" s="354" t="s">
        <v>461</v>
      </c>
      <c r="H53" s="354" t="s">
        <v>461</v>
      </c>
      <c r="I53" s="354" t="s">
        <v>461</v>
      </c>
      <c r="J53" s="358" t="s">
        <v>98</v>
      </c>
      <c r="K53" s="358" t="s">
        <v>98</v>
      </c>
      <c r="L53" s="358" t="s">
        <v>98</v>
      </c>
      <c r="M53" s="358" t="s">
        <v>98</v>
      </c>
      <c r="N53" s="358" t="s">
        <v>98</v>
      </c>
      <c r="P53" s="354" t="s">
        <v>461</v>
      </c>
      <c r="Q53" s="354" t="s">
        <v>461</v>
      </c>
      <c r="R53" s="354" t="s">
        <v>461</v>
      </c>
      <c r="S53" s="354" t="s">
        <v>461</v>
      </c>
      <c r="T53" s="351" t="s">
        <v>458</v>
      </c>
      <c r="U53" s="352" t="s">
        <v>458</v>
      </c>
      <c r="V53" s="351" t="s">
        <v>458</v>
      </c>
      <c r="W53" s="352" t="s">
        <v>458</v>
      </c>
      <c r="X53" s="362" t="s">
        <v>459</v>
      </c>
      <c r="Y53" s="351" t="s">
        <v>458</v>
      </c>
      <c r="Z53" s="370" t="s">
        <v>459</v>
      </c>
      <c r="AA53" s="370" t="s">
        <v>459</v>
      </c>
      <c r="AB53" s="370" t="s">
        <v>459</v>
      </c>
      <c r="AD53" s="354" t="s">
        <v>461</v>
      </c>
      <c r="AE53" s="354" t="s">
        <v>461</v>
      </c>
      <c r="AF53" s="354" t="s">
        <v>461</v>
      </c>
      <c r="AG53" s="354" t="s">
        <v>461</v>
      </c>
      <c r="AH53" s="354" t="s">
        <v>461</v>
      </c>
      <c r="AI53" s="354" t="s">
        <v>461</v>
      </c>
      <c r="AJ53" s="354" t="s">
        <v>461</v>
      </c>
      <c r="AK53" s="354" t="s">
        <v>461</v>
      </c>
      <c r="AL53" s="358" t="s">
        <v>98</v>
      </c>
      <c r="AM53" s="358" t="s">
        <v>98</v>
      </c>
      <c r="AN53" s="358" t="s">
        <v>98</v>
      </c>
      <c r="AO53" s="358" t="s">
        <v>98</v>
      </c>
      <c r="AP53" s="358" t="s">
        <v>98</v>
      </c>
      <c r="AQ53" s="387"/>
      <c r="AR53" s="388" t="s">
        <v>458</v>
      </c>
      <c r="AS53" s="388" t="s">
        <v>458</v>
      </c>
      <c r="AT53" s="388" t="s">
        <v>458</v>
      </c>
      <c r="AU53" s="388" t="s">
        <v>458</v>
      </c>
      <c r="AV53" s="388" t="s">
        <v>458</v>
      </c>
      <c r="AW53" s="388" t="s">
        <v>458</v>
      </c>
      <c r="AX53" s="388" t="s">
        <v>458</v>
      </c>
      <c r="AY53" s="388" t="s">
        <v>458</v>
      </c>
      <c r="AZ53" s="374" t="s">
        <v>459</v>
      </c>
      <c r="BA53" s="374" t="s">
        <v>458</v>
      </c>
      <c r="BB53" s="411" t="s">
        <v>471</v>
      </c>
      <c r="BC53" s="374" t="s">
        <v>459</v>
      </c>
      <c r="BD53" s="374" t="s">
        <v>459</v>
      </c>
      <c r="BE53" s="387"/>
      <c r="BF53" s="388" t="s">
        <v>458</v>
      </c>
      <c r="BG53" s="388" t="s">
        <v>458</v>
      </c>
      <c r="BH53" s="388" t="s">
        <v>458</v>
      </c>
      <c r="BI53" s="388" t="s">
        <v>458</v>
      </c>
      <c r="BJ53" s="388" t="s">
        <v>458</v>
      </c>
      <c r="BK53" s="388" t="s">
        <v>458</v>
      </c>
      <c r="BL53" s="388" t="s">
        <v>458</v>
      </c>
      <c r="BM53" s="388" t="s">
        <v>458</v>
      </c>
      <c r="BN53" s="388" t="s">
        <v>458</v>
      </c>
      <c r="BO53" s="388" t="s">
        <v>458</v>
      </c>
      <c r="BP53" s="374" t="s">
        <v>459</v>
      </c>
      <c r="BQ53" s="374" t="s">
        <v>459</v>
      </c>
      <c r="BR53" s="374" t="s">
        <v>459</v>
      </c>
      <c r="BS53" s="28"/>
      <c r="BT53" s="354" t="s">
        <v>461</v>
      </c>
      <c r="BU53" s="354" t="s">
        <v>461</v>
      </c>
      <c r="BV53" s="354" t="s">
        <v>461</v>
      </c>
      <c r="BW53" s="354" t="s">
        <v>461</v>
      </c>
      <c r="BX53" s="354" t="s">
        <v>461</v>
      </c>
      <c r="BY53" s="354" t="s">
        <v>461</v>
      </c>
      <c r="BZ53" s="354" t="s">
        <v>461</v>
      </c>
      <c r="CA53" s="354" t="s">
        <v>461</v>
      </c>
      <c r="CB53" s="358" t="s">
        <v>98</v>
      </c>
      <c r="CC53" s="358" t="s">
        <v>98</v>
      </c>
      <c r="CD53" s="358" t="s">
        <v>98</v>
      </c>
      <c r="CE53" s="358" t="s">
        <v>98</v>
      </c>
      <c r="CF53" s="358" t="s">
        <v>98</v>
      </c>
      <c r="CG53" s="387"/>
      <c r="CH53" s="388" t="s">
        <v>458</v>
      </c>
      <c r="CI53" s="388" t="s">
        <v>458</v>
      </c>
      <c r="CJ53" s="388" t="s">
        <v>458</v>
      </c>
      <c r="CK53" s="388" t="s">
        <v>458</v>
      </c>
      <c r="CL53" s="388" t="s">
        <v>458</v>
      </c>
      <c r="CM53" s="388" t="s">
        <v>458</v>
      </c>
      <c r="CN53" s="388" t="s">
        <v>458</v>
      </c>
      <c r="CO53" s="388" t="s">
        <v>458</v>
      </c>
      <c r="CP53" s="388" t="s">
        <v>459</v>
      </c>
      <c r="CQ53" s="388" t="s">
        <v>458</v>
      </c>
      <c r="CR53" s="374" t="s">
        <v>459</v>
      </c>
      <c r="CS53" s="374" t="s">
        <v>459</v>
      </c>
      <c r="CT53" s="374" t="s">
        <v>459</v>
      </c>
      <c r="CU53" s="387"/>
      <c r="CV53" s="388" t="s">
        <v>458</v>
      </c>
      <c r="CW53" s="388" t="s">
        <v>458</v>
      </c>
      <c r="CX53" s="388" t="s">
        <v>458</v>
      </c>
      <c r="CY53" s="388" t="s">
        <v>458</v>
      </c>
      <c r="CZ53" s="388" t="s">
        <v>458</v>
      </c>
      <c r="DA53" s="388" t="s">
        <v>458</v>
      </c>
      <c r="DB53" s="388" t="s">
        <v>458</v>
      </c>
      <c r="DC53" s="388" t="s">
        <v>458</v>
      </c>
      <c r="DD53" s="398" t="s">
        <v>459</v>
      </c>
      <c r="DE53" s="388" t="s">
        <v>458</v>
      </c>
      <c r="DF53" s="398" t="s">
        <v>459</v>
      </c>
      <c r="DG53" s="398" t="s">
        <v>459</v>
      </c>
      <c r="DH53" s="399" t="s">
        <v>459</v>
      </c>
    </row>
    <row r="54" spans="1:112" ht="89.25">
      <c r="A54" s="708" t="s">
        <v>58</v>
      </c>
      <c r="B54" s="354" t="s">
        <v>461</v>
      </c>
      <c r="C54" s="354" t="s">
        <v>461</v>
      </c>
      <c r="D54" s="354" t="s">
        <v>461</v>
      </c>
      <c r="E54" s="354" t="s">
        <v>461</v>
      </c>
      <c r="F54" s="354" t="s">
        <v>461</v>
      </c>
      <c r="G54" s="354" t="s">
        <v>461</v>
      </c>
      <c r="H54" s="354" t="s">
        <v>461</v>
      </c>
      <c r="I54" s="354" t="s">
        <v>461</v>
      </c>
      <c r="J54" s="358" t="s">
        <v>98</v>
      </c>
      <c r="K54" s="358" t="s">
        <v>98</v>
      </c>
      <c r="L54" s="358" t="s">
        <v>98</v>
      </c>
      <c r="M54" s="358" t="s">
        <v>98</v>
      </c>
      <c r="N54" s="358" t="s">
        <v>98</v>
      </c>
      <c r="P54" s="354" t="s">
        <v>461</v>
      </c>
      <c r="Q54" s="354" t="s">
        <v>461</v>
      </c>
      <c r="R54" s="354" t="s">
        <v>461</v>
      </c>
      <c r="S54" s="354" t="s">
        <v>461</v>
      </c>
      <c r="T54" s="351" t="s">
        <v>458</v>
      </c>
      <c r="U54" s="352" t="s">
        <v>458</v>
      </c>
      <c r="V54" s="351" t="s">
        <v>458</v>
      </c>
      <c r="W54" s="352" t="s">
        <v>458</v>
      </c>
      <c r="X54" s="362" t="s">
        <v>459</v>
      </c>
      <c r="Y54" s="351" t="s">
        <v>458</v>
      </c>
      <c r="Z54" s="370" t="s">
        <v>459</v>
      </c>
      <c r="AA54" s="370" t="s">
        <v>459</v>
      </c>
      <c r="AB54" s="370" t="s">
        <v>459</v>
      </c>
      <c r="AD54" s="354" t="s">
        <v>461</v>
      </c>
      <c r="AE54" s="354" t="s">
        <v>461</v>
      </c>
      <c r="AF54" s="354" t="s">
        <v>461</v>
      </c>
      <c r="AG54" s="354" t="s">
        <v>461</v>
      </c>
      <c r="AH54" s="354" t="s">
        <v>461</v>
      </c>
      <c r="AI54" s="354" t="s">
        <v>461</v>
      </c>
      <c r="AJ54" s="354" t="s">
        <v>461</v>
      </c>
      <c r="AK54" s="354" t="s">
        <v>461</v>
      </c>
      <c r="AL54" s="358" t="s">
        <v>98</v>
      </c>
      <c r="AM54" s="358" t="s">
        <v>98</v>
      </c>
      <c r="AN54" s="358" t="s">
        <v>98</v>
      </c>
      <c r="AO54" s="358" t="s">
        <v>98</v>
      </c>
      <c r="AP54" s="358" t="s">
        <v>98</v>
      </c>
      <c r="AQ54" s="61"/>
      <c r="AR54" s="388" t="s">
        <v>458</v>
      </c>
      <c r="AS54" s="388" t="s">
        <v>458</v>
      </c>
      <c r="AT54" s="388" t="s">
        <v>458</v>
      </c>
      <c r="AU54" s="388" t="s">
        <v>458</v>
      </c>
      <c r="AV54" s="388" t="s">
        <v>458</v>
      </c>
      <c r="AW54" s="388" t="s">
        <v>458</v>
      </c>
      <c r="AX54" s="388" t="s">
        <v>458</v>
      </c>
      <c r="AY54" s="388" t="s">
        <v>458</v>
      </c>
      <c r="AZ54" s="374" t="s">
        <v>459</v>
      </c>
      <c r="BA54" s="374" t="s">
        <v>458</v>
      </c>
      <c r="BB54" s="411" t="s">
        <v>471</v>
      </c>
      <c r="BC54" s="374" t="s">
        <v>459</v>
      </c>
      <c r="BD54" s="374" t="s">
        <v>459</v>
      </c>
      <c r="BE54" s="61"/>
      <c r="BF54" s="388" t="s">
        <v>458</v>
      </c>
      <c r="BG54" s="388" t="s">
        <v>458</v>
      </c>
      <c r="BH54" s="388" t="s">
        <v>458</v>
      </c>
      <c r="BI54" s="388" t="s">
        <v>458</v>
      </c>
      <c r="BJ54" s="388" t="s">
        <v>458</v>
      </c>
      <c r="BK54" s="388" t="s">
        <v>458</v>
      </c>
      <c r="BL54" s="388" t="s">
        <v>458</v>
      </c>
      <c r="BM54" s="388" t="s">
        <v>458</v>
      </c>
      <c r="BN54" s="388" t="s">
        <v>458</v>
      </c>
      <c r="BO54" s="388" t="s">
        <v>458</v>
      </c>
      <c r="BP54" s="374" t="s">
        <v>459</v>
      </c>
      <c r="BQ54" s="374" t="s">
        <v>459</v>
      </c>
      <c r="BR54" s="374" t="s">
        <v>459</v>
      </c>
      <c r="BS54" s="27"/>
      <c r="BT54" s="354" t="s">
        <v>461</v>
      </c>
      <c r="BU54" s="354" t="s">
        <v>461</v>
      </c>
      <c r="BV54" s="354" t="s">
        <v>461</v>
      </c>
      <c r="BW54" s="354" t="s">
        <v>461</v>
      </c>
      <c r="BX54" s="354" t="s">
        <v>461</v>
      </c>
      <c r="BY54" s="354" t="s">
        <v>461</v>
      </c>
      <c r="BZ54" s="354" t="s">
        <v>461</v>
      </c>
      <c r="CA54" s="354" t="s">
        <v>461</v>
      </c>
      <c r="CB54" s="358" t="s">
        <v>98</v>
      </c>
      <c r="CC54" s="358" t="s">
        <v>98</v>
      </c>
      <c r="CD54" s="358" t="s">
        <v>98</v>
      </c>
      <c r="CE54" s="358" t="s">
        <v>98</v>
      </c>
      <c r="CF54" s="358" t="s">
        <v>98</v>
      </c>
      <c r="CG54" s="61"/>
      <c r="CH54" s="388" t="s">
        <v>458</v>
      </c>
      <c r="CI54" s="388" t="s">
        <v>458</v>
      </c>
      <c r="CJ54" s="388" t="s">
        <v>458</v>
      </c>
      <c r="CK54" s="388" t="s">
        <v>458</v>
      </c>
      <c r="CL54" s="388" t="s">
        <v>458</v>
      </c>
      <c r="CM54" s="388" t="s">
        <v>458</v>
      </c>
      <c r="CN54" s="388" t="s">
        <v>458</v>
      </c>
      <c r="CO54" s="388" t="s">
        <v>458</v>
      </c>
      <c r="CP54" s="388" t="s">
        <v>459</v>
      </c>
      <c r="CQ54" s="388" t="s">
        <v>458</v>
      </c>
      <c r="CR54" s="374" t="s">
        <v>459</v>
      </c>
      <c r="CS54" s="374" t="s">
        <v>459</v>
      </c>
      <c r="CT54" s="374" t="s">
        <v>459</v>
      </c>
      <c r="CU54" s="61"/>
      <c r="CV54" s="388" t="s">
        <v>458</v>
      </c>
      <c r="CW54" s="388" t="s">
        <v>458</v>
      </c>
      <c r="CX54" s="388" t="s">
        <v>458</v>
      </c>
      <c r="CY54" s="388" t="s">
        <v>458</v>
      </c>
      <c r="CZ54" s="388" t="s">
        <v>458</v>
      </c>
      <c r="DA54" s="388" t="s">
        <v>458</v>
      </c>
      <c r="DB54" s="388" t="s">
        <v>458</v>
      </c>
      <c r="DC54" s="388" t="s">
        <v>458</v>
      </c>
      <c r="DD54" s="398" t="s">
        <v>459</v>
      </c>
      <c r="DE54" s="388" t="s">
        <v>458</v>
      </c>
      <c r="DF54" s="398" t="s">
        <v>459</v>
      </c>
      <c r="DG54" s="398" t="s">
        <v>459</v>
      </c>
      <c r="DH54" s="399" t="s">
        <v>459</v>
      </c>
    </row>
    <row r="55" spans="1:112" ht="89.25">
      <c r="A55" s="708" t="s">
        <v>21</v>
      </c>
      <c r="B55" s="354" t="s">
        <v>461</v>
      </c>
      <c r="C55" s="354" t="s">
        <v>461</v>
      </c>
      <c r="D55" s="354" t="s">
        <v>461</v>
      </c>
      <c r="E55" s="354" t="s">
        <v>461</v>
      </c>
      <c r="F55" s="354" t="s">
        <v>461</v>
      </c>
      <c r="G55" s="354" t="s">
        <v>461</v>
      </c>
      <c r="H55" s="354" t="s">
        <v>461</v>
      </c>
      <c r="I55" s="354" t="s">
        <v>461</v>
      </c>
      <c r="J55" s="358" t="s">
        <v>98</v>
      </c>
      <c r="K55" s="358" t="s">
        <v>98</v>
      </c>
      <c r="L55" s="358" t="s">
        <v>98</v>
      </c>
      <c r="M55" s="358" t="s">
        <v>98</v>
      </c>
      <c r="N55" s="358" t="s">
        <v>98</v>
      </c>
      <c r="P55" s="354" t="s">
        <v>461</v>
      </c>
      <c r="Q55" s="354" t="s">
        <v>461</v>
      </c>
      <c r="R55" s="354" t="s">
        <v>461</v>
      </c>
      <c r="S55" s="354" t="s">
        <v>461</v>
      </c>
      <c r="T55" s="351" t="s">
        <v>458</v>
      </c>
      <c r="U55" s="352" t="s">
        <v>458</v>
      </c>
      <c r="V55" s="351" t="s">
        <v>458</v>
      </c>
      <c r="W55" s="352" t="s">
        <v>458</v>
      </c>
      <c r="X55" s="362" t="s">
        <v>459</v>
      </c>
      <c r="Y55" s="351" t="s">
        <v>458</v>
      </c>
      <c r="Z55" s="370" t="s">
        <v>459</v>
      </c>
      <c r="AA55" s="370" t="s">
        <v>459</v>
      </c>
      <c r="AB55" s="370" t="s">
        <v>459</v>
      </c>
      <c r="AD55" s="354" t="s">
        <v>461</v>
      </c>
      <c r="AE55" s="354" t="s">
        <v>461</v>
      </c>
      <c r="AF55" s="354" t="s">
        <v>461</v>
      </c>
      <c r="AG55" s="354" t="s">
        <v>461</v>
      </c>
      <c r="AH55" s="354" t="s">
        <v>461</v>
      </c>
      <c r="AI55" s="354" t="s">
        <v>461</v>
      </c>
      <c r="AJ55" s="354" t="s">
        <v>461</v>
      </c>
      <c r="AK55" s="354" t="s">
        <v>461</v>
      </c>
      <c r="AL55" s="358" t="s">
        <v>98</v>
      </c>
      <c r="AM55" s="358" t="s">
        <v>98</v>
      </c>
      <c r="AN55" s="358" t="s">
        <v>98</v>
      </c>
      <c r="AO55" s="358" t="s">
        <v>98</v>
      </c>
      <c r="AP55" s="358" t="s">
        <v>98</v>
      </c>
      <c r="AQ55" s="387"/>
      <c r="AR55" s="388" t="s">
        <v>458</v>
      </c>
      <c r="AS55" s="388" t="s">
        <v>458</v>
      </c>
      <c r="AT55" s="388" t="s">
        <v>458</v>
      </c>
      <c r="AU55" s="388" t="s">
        <v>458</v>
      </c>
      <c r="AV55" s="388" t="s">
        <v>458</v>
      </c>
      <c r="AW55" s="388" t="s">
        <v>458</v>
      </c>
      <c r="AX55" s="388" t="s">
        <v>458</v>
      </c>
      <c r="AY55" s="388" t="s">
        <v>458</v>
      </c>
      <c r="AZ55" s="374" t="s">
        <v>459</v>
      </c>
      <c r="BA55" s="374" t="s">
        <v>458</v>
      </c>
      <c r="BB55" s="411" t="s">
        <v>471</v>
      </c>
      <c r="BC55" s="374" t="s">
        <v>459</v>
      </c>
      <c r="BD55" s="374" t="s">
        <v>459</v>
      </c>
      <c r="BE55" s="387"/>
      <c r="BF55" s="388" t="s">
        <v>458</v>
      </c>
      <c r="BG55" s="388" t="s">
        <v>458</v>
      </c>
      <c r="BH55" s="388" t="s">
        <v>458</v>
      </c>
      <c r="BI55" s="388" t="s">
        <v>458</v>
      </c>
      <c r="BJ55" s="388" t="s">
        <v>458</v>
      </c>
      <c r="BK55" s="388" t="s">
        <v>458</v>
      </c>
      <c r="BL55" s="388" t="s">
        <v>458</v>
      </c>
      <c r="BM55" s="388" t="s">
        <v>458</v>
      </c>
      <c r="BN55" s="388" t="s">
        <v>458</v>
      </c>
      <c r="BO55" s="388" t="s">
        <v>458</v>
      </c>
      <c r="BP55" s="374" t="s">
        <v>459</v>
      </c>
      <c r="BQ55" s="374" t="s">
        <v>459</v>
      </c>
      <c r="BR55" s="374" t="s">
        <v>459</v>
      </c>
      <c r="BS55" s="28"/>
      <c r="BT55" s="354" t="s">
        <v>461</v>
      </c>
      <c r="BU55" s="354" t="s">
        <v>461</v>
      </c>
      <c r="BV55" s="354" t="s">
        <v>461</v>
      </c>
      <c r="BW55" s="354" t="s">
        <v>461</v>
      </c>
      <c r="BX55" s="354" t="s">
        <v>461</v>
      </c>
      <c r="BY55" s="354" t="s">
        <v>461</v>
      </c>
      <c r="BZ55" s="354" t="s">
        <v>461</v>
      </c>
      <c r="CA55" s="354" t="s">
        <v>461</v>
      </c>
      <c r="CB55" s="358" t="s">
        <v>98</v>
      </c>
      <c r="CC55" s="358" t="s">
        <v>98</v>
      </c>
      <c r="CD55" s="358" t="s">
        <v>98</v>
      </c>
      <c r="CE55" s="358" t="s">
        <v>98</v>
      </c>
      <c r="CF55" s="358" t="s">
        <v>98</v>
      </c>
      <c r="CG55" s="387"/>
      <c r="CH55" s="388" t="s">
        <v>458</v>
      </c>
      <c r="CI55" s="388" t="s">
        <v>458</v>
      </c>
      <c r="CJ55" s="388" t="s">
        <v>458</v>
      </c>
      <c r="CK55" s="388" t="s">
        <v>458</v>
      </c>
      <c r="CL55" s="388" t="s">
        <v>458</v>
      </c>
      <c r="CM55" s="388" t="s">
        <v>458</v>
      </c>
      <c r="CN55" s="388" t="s">
        <v>458</v>
      </c>
      <c r="CO55" s="388" t="s">
        <v>458</v>
      </c>
      <c r="CP55" s="388" t="s">
        <v>459</v>
      </c>
      <c r="CQ55" s="388" t="s">
        <v>458</v>
      </c>
      <c r="CR55" s="374" t="s">
        <v>459</v>
      </c>
      <c r="CS55" s="374" t="s">
        <v>459</v>
      </c>
      <c r="CT55" s="374" t="s">
        <v>459</v>
      </c>
      <c r="CU55" s="387"/>
      <c r="CV55" s="388" t="s">
        <v>458</v>
      </c>
      <c r="CW55" s="388" t="s">
        <v>458</v>
      </c>
      <c r="CX55" s="388" t="s">
        <v>458</v>
      </c>
      <c r="CY55" s="388" t="s">
        <v>458</v>
      </c>
      <c r="CZ55" s="388" t="s">
        <v>458</v>
      </c>
      <c r="DA55" s="388" t="s">
        <v>458</v>
      </c>
      <c r="DB55" s="388" t="s">
        <v>458</v>
      </c>
      <c r="DC55" s="388" t="s">
        <v>458</v>
      </c>
      <c r="DD55" s="398" t="s">
        <v>459</v>
      </c>
      <c r="DE55" s="388" t="s">
        <v>458</v>
      </c>
      <c r="DF55" s="398" t="s">
        <v>459</v>
      </c>
      <c r="DG55" s="398" t="s">
        <v>459</v>
      </c>
      <c r="DH55" s="399" t="s">
        <v>459</v>
      </c>
    </row>
    <row r="56" spans="1:112" ht="89.25">
      <c r="A56" s="708" t="s">
        <v>22</v>
      </c>
      <c r="B56" s="354" t="s">
        <v>461</v>
      </c>
      <c r="C56" s="354" t="s">
        <v>461</v>
      </c>
      <c r="D56" s="354" t="s">
        <v>461</v>
      </c>
      <c r="E56" s="354" t="s">
        <v>461</v>
      </c>
      <c r="F56" s="354" t="s">
        <v>461</v>
      </c>
      <c r="G56" s="354" t="s">
        <v>461</v>
      </c>
      <c r="H56" s="354" t="s">
        <v>461</v>
      </c>
      <c r="I56" s="354" t="s">
        <v>461</v>
      </c>
      <c r="J56" s="358" t="s">
        <v>98</v>
      </c>
      <c r="K56" s="358" t="s">
        <v>98</v>
      </c>
      <c r="L56" s="358" t="s">
        <v>98</v>
      </c>
      <c r="M56" s="358" t="s">
        <v>98</v>
      </c>
      <c r="N56" s="358" t="s">
        <v>98</v>
      </c>
      <c r="P56" s="354" t="s">
        <v>461</v>
      </c>
      <c r="Q56" s="354" t="s">
        <v>461</v>
      </c>
      <c r="R56" s="354" t="s">
        <v>461</v>
      </c>
      <c r="S56" s="354" t="s">
        <v>461</v>
      </c>
      <c r="T56" s="351" t="s">
        <v>458</v>
      </c>
      <c r="U56" s="352" t="s">
        <v>458</v>
      </c>
      <c r="V56" s="351" t="s">
        <v>458</v>
      </c>
      <c r="W56" s="352" t="s">
        <v>458</v>
      </c>
      <c r="X56" s="362" t="s">
        <v>459</v>
      </c>
      <c r="Y56" s="351" t="s">
        <v>458</v>
      </c>
      <c r="Z56" s="370" t="s">
        <v>459</v>
      </c>
      <c r="AA56" s="370" t="s">
        <v>459</v>
      </c>
      <c r="AB56" s="370" t="s">
        <v>459</v>
      </c>
      <c r="AD56" s="354" t="s">
        <v>461</v>
      </c>
      <c r="AE56" s="354" t="s">
        <v>461</v>
      </c>
      <c r="AF56" s="354" t="s">
        <v>461</v>
      </c>
      <c r="AG56" s="354" t="s">
        <v>461</v>
      </c>
      <c r="AH56" s="354" t="s">
        <v>461</v>
      </c>
      <c r="AI56" s="354" t="s">
        <v>461</v>
      </c>
      <c r="AJ56" s="354" t="s">
        <v>461</v>
      </c>
      <c r="AK56" s="354" t="s">
        <v>461</v>
      </c>
      <c r="AL56" s="358" t="s">
        <v>98</v>
      </c>
      <c r="AM56" s="358" t="s">
        <v>98</v>
      </c>
      <c r="AN56" s="358" t="s">
        <v>98</v>
      </c>
      <c r="AO56" s="358" t="s">
        <v>98</v>
      </c>
      <c r="AP56" s="358" t="s">
        <v>98</v>
      </c>
      <c r="AQ56" s="387"/>
      <c r="AR56" s="388" t="s">
        <v>458</v>
      </c>
      <c r="AS56" s="388" t="s">
        <v>458</v>
      </c>
      <c r="AT56" s="388" t="s">
        <v>458</v>
      </c>
      <c r="AU56" s="388" t="s">
        <v>458</v>
      </c>
      <c r="AV56" s="388" t="s">
        <v>458</v>
      </c>
      <c r="AW56" s="388" t="s">
        <v>458</v>
      </c>
      <c r="AX56" s="388" t="s">
        <v>458</v>
      </c>
      <c r="AY56" s="388" t="s">
        <v>458</v>
      </c>
      <c r="AZ56" s="374" t="s">
        <v>459</v>
      </c>
      <c r="BA56" s="374" t="s">
        <v>458</v>
      </c>
      <c r="BB56" s="411" t="s">
        <v>471</v>
      </c>
      <c r="BC56" s="374" t="s">
        <v>459</v>
      </c>
      <c r="BD56" s="374" t="s">
        <v>459</v>
      </c>
      <c r="BE56" s="387"/>
      <c r="BF56" s="388" t="s">
        <v>458</v>
      </c>
      <c r="BG56" s="388" t="s">
        <v>458</v>
      </c>
      <c r="BH56" s="388" t="s">
        <v>458</v>
      </c>
      <c r="BI56" s="388" t="s">
        <v>458</v>
      </c>
      <c r="BJ56" s="388" t="s">
        <v>458</v>
      </c>
      <c r="BK56" s="388" t="s">
        <v>458</v>
      </c>
      <c r="BL56" s="388" t="s">
        <v>458</v>
      </c>
      <c r="BM56" s="388" t="s">
        <v>458</v>
      </c>
      <c r="BN56" s="388" t="s">
        <v>458</v>
      </c>
      <c r="BO56" s="388" t="s">
        <v>458</v>
      </c>
      <c r="BP56" s="374" t="s">
        <v>459</v>
      </c>
      <c r="BQ56" s="374" t="s">
        <v>459</v>
      </c>
      <c r="BR56" s="374" t="s">
        <v>459</v>
      </c>
      <c r="BS56" s="28"/>
      <c r="BT56" s="354" t="s">
        <v>461</v>
      </c>
      <c r="BU56" s="354" t="s">
        <v>461</v>
      </c>
      <c r="BV56" s="354" t="s">
        <v>461</v>
      </c>
      <c r="BW56" s="354" t="s">
        <v>461</v>
      </c>
      <c r="BX56" s="354" t="s">
        <v>461</v>
      </c>
      <c r="BY56" s="354" t="s">
        <v>461</v>
      </c>
      <c r="BZ56" s="354" t="s">
        <v>461</v>
      </c>
      <c r="CA56" s="354" t="s">
        <v>461</v>
      </c>
      <c r="CB56" s="358" t="s">
        <v>98</v>
      </c>
      <c r="CC56" s="358" t="s">
        <v>98</v>
      </c>
      <c r="CD56" s="358" t="s">
        <v>98</v>
      </c>
      <c r="CE56" s="358" t="s">
        <v>98</v>
      </c>
      <c r="CF56" s="358" t="s">
        <v>98</v>
      </c>
      <c r="CG56" s="387"/>
      <c r="CH56" s="388" t="s">
        <v>458</v>
      </c>
      <c r="CI56" s="388" t="s">
        <v>458</v>
      </c>
      <c r="CJ56" s="388" t="s">
        <v>458</v>
      </c>
      <c r="CK56" s="388" t="s">
        <v>458</v>
      </c>
      <c r="CL56" s="388" t="s">
        <v>458</v>
      </c>
      <c r="CM56" s="388" t="s">
        <v>458</v>
      </c>
      <c r="CN56" s="388" t="s">
        <v>458</v>
      </c>
      <c r="CO56" s="388" t="s">
        <v>458</v>
      </c>
      <c r="CP56" s="388" t="s">
        <v>459</v>
      </c>
      <c r="CQ56" s="388" t="s">
        <v>458</v>
      </c>
      <c r="CR56" s="374" t="s">
        <v>459</v>
      </c>
      <c r="CS56" s="374" t="s">
        <v>459</v>
      </c>
      <c r="CT56" s="374" t="s">
        <v>459</v>
      </c>
      <c r="CU56" s="387"/>
      <c r="CV56" s="388" t="s">
        <v>458</v>
      </c>
      <c r="CW56" s="388" t="s">
        <v>458</v>
      </c>
      <c r="CX56" s="388" t="s">
        <v>458</v>
      </c>
      <c r="CY56" s="388" t="s">
        <v>458</v>
      </c>
      <c r="CZ56" s="388" t="s">
        <v>458</v>
      </c>
      <c r="DA56" s="388" t="s">
        <v>458</v>
      </c>
      <c r="DB56" s="388" t="s">
        <v>458</v>
      </c>
      <c r="DC56" s="388" t="s">
        <v>458</v>
      </c>
      <c r="DD56" s="398" t="s">
        <v>459</v>
      </c>
      <c r="DE56" s="388" t="s">
        <v>458</v>
      </c>
      <c r="DF56" s="398" t="s">
        <v>459</v>
      </c>
      <c r="DG56" s="398" t="s">
        <v>459</v>
      </c>
      <c r="DH56" s="399" t="s">
        <v>459</v>
      </c>
    </row>
    <row r="57" spans="1:112" ht="89.25">
      <c r="A57" s="708" t="s">
        <v>23</v>
      </c>
      <c r="B57" s="354" t="s">
        <v>461</v>
      </c>
      <c r="C57" s="354" t="s">
        <v>461</v>
      </c>
      <c r="D57" s="354" t="s">
        <v>461</v>
      </c>
      <c r="E57" s="354" t="s">
        <v>461</v>
      </c>
      <c r="F57" s="354" t="s">
        <v>461</v>
      </c>
      <c r="G57" s="354" t="s">
        <v>461</v>
      </c>
      <c r="H57" s="354" t="s">
        <v>461</v>
      </c>
      <c r="I57" s="354" t="s">
        <v>461</v>
      </c>
      <c r="J57" s="358" t="s">
        <v>98</v>
      </c>
      <c r="K57" s="358" t="s">
        <v>98</v>
      </c>
      <c r="L57" s="358" t="s">
        <v>98</v>
      </c>
      <c r="M57" s="358" t="s">
        <v>98</v>
      </c>
      <c r="N57" s="358" t="s">
        <v>98</v>
      </c>
      <c r="P57" s="371" t="s">
        <v>516</v>
      </c>
      <c r="Q57" s="371" t="s">
        <v>517</v>
      </c>
      <c r="R57" s="371" t="s">
        <v>518</v>
      </c>
      <c r="S57" s="371" t="s">
        <v>519</v>
      </c>
      <c r="T57" s="350" t="s">
        <v>495</v>
      </c>
      <c r="U57" s="353" t="s">
        <v>496</v>
      </c>
      <c r="V57" s="350" t="s">
        <v>497</v>
      </c>
      <c r="W57" s="353" t="s">
        <v>498</v>
      </c>
      <c r="X57" s="362" t="s">
        <v>459</v>
      </c>
      <c r="Y57" s="350" t="s">
        <v>499</v>
      </c>
      <c r="Z57" s="370" t="s">
        <v>459</v>
      </c>
      <c r="AA57" s="370" t="s">
        <v>459</v>
      </c>
      <c r="AB57" s="370" t="s">
        <v>459</v>
      </c>
      <c r="AD57" s="354" t="s">
        <v>461</v>
      </c>
      <c r="AE57" s="354" t="s">
        <v>461</v>
      </c>
      <c r="AF57" s="354" t="s">
        <v>461</v>
      </c>
      <c r="AG57" s="354" t="s">
        <v>461</v>
      </c>
      <c r="AH57" s="354" t="s">
        <v>461</v>
      </c>
      <c r="AI57" s="354" t="s">
        <v>461</v>
      </c>
      <c r="AJ57" s="354" t="s">
        <v>461</v>
      </c>
      <c r="AK57" s="354" t="s">
        <v>461</v>
      </c>
      <c r="AL57" s="358" t="s">
        <v>98</v>
      </c>
      <c r="AM57" s="358" t="s">
        <v>98</v>
      </c>
      <c r="AN57" s="358" t="s">
        <v>98</v>
      </c>
      <c r="AO57" s="358" t="s">
        <v>98</v>
      </c>
      <c r="AP57" s="358" t="s">
        <v>98</v>
      </c>
      <c r="AQ57" s="61"/>
      <c r="AR57" s="388" t="s">
        <v>458</v>
      </c>
      <c r="AS57" s="388" t="s">
        <v>458</v>
      </c>
      <c r="AT57" s="388" t="s">
        <v>458</v>
      </c>
      <c r="AU57" s="388" t="s">
        <v>458</v>
      </c>
      <c r="AV57" s="388" t="s">
        <v>458</v>
      </c>
      <c r="AW57" s="388" t="s">
        <v>458</v>
      </c>
      <c r="AX57" s="388" t="s">
        <v>458</v>
      </c>
      <c r="AY57" s="388" t="s">
        <v>458</v>
      </c>
      <c r="AZ57" s="374" t="s">
        <v>459</v>
      </c>
      <c r="BA57" s="374" t="s">
        <v>458</v>
      </c>
      <c r="BB57" s="411" t="s">
        <v>471</v>
      </c>
      <c r="BC57" s="374" t="s">
        <v>459</v>
      </c>
      <c r="BD57" s="374" t="s">
        <v>459</v>
      </c>
      <c r="BE57" s="61"/>
      <c r="BF57" s="388" t="s">
        <v>458</v>
      </c>
      <c r="BG57" s="388" t="s">
        <v>458</v>
      </c>
      <c r="BH57" s="388" t="s">
        <v>458</v>
      </c>
      <c r="BI57" s="388" t="s">
        <v>458</v>
      </c>
      <c r="BJ57" s="388" t="s">
        <v>458</v>
      </c>
      <c r="BK57" s="388" t="s">
        <v>458</v>
      </c>
      <c r="BL57" s="388" t="s">
        <v>458</v>
      </c>
      <c r="BM57" s="388" t="s">
        <v>458</v>
      </c>
      <c r="BN57" s="388" t="s">
        <v>458</v>
      </c>
      <c r="BO57" s="388" t="s">
        <v>458</v>
      </c>
      <c r="BP57" s="374" t="s">
        <v>459</v>
      </c>
      <c r="BQ57" s="374" t="s">
        <v>459</v>
      </c>
      <c r="BR57" s="374" t="s">
        <v>459</v>
      </c>
      <c r="BS57" s="27"/>
      <c r="BT57" s="354" t="s">
        <v>461</v>
      </c>
      <c r="BU57" s="354" t="s">
        <v>461</v>
      </c>
      <c r="BV57" s="354" t="s">
        <v>461</v>
      </c>
      <c r="BW57" s="354" t="s">
        <v>461</v>
      </c>
      <c r="BX57" s="354" t="s">
        <v>461</v>
      </c>
      <c r="BY57" s="354" t="s">
        <v>461</v>
      </c>
      <c r="BZ57" s="354" t="s">
        <v>461</v>
      </c>
      <c r="CA57" s="354" t="s">
        <v>461</v>
      </c>
      <c r="CB57" s="358" t="s">
        <v>98</v>
      </c>
      <c r="CC57" s="358" t="s">
        <v>98</v>
      </c>
      <c r="CD57" s="358" t="s">
        <v>98</v>
      </c>
      <c r="CE57" s="358" t="s">
        <v>98</v>
      </c>
      <c r="CF57" s="358" t="s">
        <v>98</v>
      </c>
      <c r="CG57" s="61"/>
      <c r="CH57" s="388" t="s">
        <v>458</v>
      </c>
      <c r="CI57" s="388" t="s">
        <v>458</v>
      </c>
      <c r="CJ57" s="388" t="s">
        <v>458</v>
      </c>
      <c r="CK57" s="388" t="s">
        <v>458</v>
      </c>
      <c r="CL57" s="388" t="s">
        <v>458</v>
      </c>
      <c r="CM57" s="388" t="s">
        <v>458</v>
      </c>
      <c r="CN57" s="388" t="s">
        <v>458</v>
      </c>
      <c r="CO57" s="388" t="s">
        <v>458</v>
      </c>
      <c r="CP57" s="388" t="s">
        <v>459</v>
      </c>
      <c r="CQ57" s="389" t="s">
        <v>459</v>
      </c>
      <c r="CR57" s="374" t="s">
        <v>459</v>
      </c>
      <c r="CS57" s="374" t="s">
        <v>459</v>
      </c>
      <c r="CT57" s="374" t="s">
        <v>459</v>
      </c>
      <c r="CU57" s="61"/>
      <c r="CV57" s="388" t="s">
        <v>458</v>
      </c>
      <c r="CW57" s="388" t="s">
        <v>458</v>
      </c>
      <c r="CX57" s="388" t="s">
        <v>458</v>
      </c>
      <c r="CY57" s="388" t="s">
        <v>458</v>
      </c>
      <c r="CZ57" s="388" t="s">
        <v>458</v>
      </c>
      <c r="DA57" s="388" t="s">
        <v>458</v>
      </c>
      <c r="DB57" s="388" t="s">
        <v>458</v>
      </c>
      <c r="DC57" s="388" t="s">
        <v>458</v>
      </c>
      <c r="DD57" s="398" t="s">
        <v>459</v>
      </c>
      <c r="DE57" s="388" t="s">
        <v>458</v>
      </c>
      <c r="DF57" s="398" t="s">
        <v>459</v>
      </c>
      <c r="DG57" s="398" t="s">
        <v>459</v>
      </c>
      <c r="DH57" s="399" t="s">
        <v>459</v>
      </c>
    </row>
    <row r="58" spans="1:112" ht="89.25">
      <c r="A58" s="708" t="s">
        <v>59</v>
      </c>
      <c r="B58" s="354" t="s">
        <v>461</v>
      </c>
      <c r="C58" s="354" t="s">
        <v>461</v>
      </c>
      <c r="D58" s="354" t="s">
        <v>461</v>
      </c>
      <c r="E58" s="354" t="s">
        <v>461</v>
      </c>
      <c r="F58" s="354" t="s">
        <v>461</v>
      </c>
      <c r="G58" s="354" t="s">
        <v>461</v>
      </c>
      <c r="H58" s="354" t="s">
        <v>461</v>
      </c>
      <c r="I58" s="354" t="s">
        <v>461</v>
      </c>
      <c r="J58" s="358" t="s">
        <v>98</v>
      </c>
      <c r="K58" s="358" t="s">
        <v>98</v>
      </c>
      <c r="L58" s="358" t="s">
        <v>98</v>
      </c>
      <c r="M58" s="358" t="s">
        <v>98</v>
      </c>
      <c r="N58" s="358" t="s">
        <v>98</v>
      </c>
      <c r="P58" s="349" t="s">
        <v>457</v>
      </c>
      <c r="Q58" s="349" t="s">
        <v>457</v>
      </c>
      <c r="R58" s="349" t="s">
        <v>457</v>
      </c>
      <c r="S58" s="349" t="s">
        <v>457</v>
      </c>
      <c r="T58" s="351" t="s">
        <v>458</v>
      </c>
      <c r="U58" s="352" t="s">
        <v>458</v>
      </c>
      <c r="V58" s="351" t="s">
        <v>458</v>
      </c>
      <c r="W58" s="352" t="s">
        <v>458</v>
      </c>
      <c r="X58" s="362" t="s">
        <v>459</v>
      </c>
      <c r="Y58" s="351" t="s">
        <v>458</v>
      </c>
      <c r="Z58" s="370" t="s">
        <v>459</v>
      </c>
      <c r="AA58" s="370" t="s">
        <v>459</v>
      </c>
      <c r="AB58" s="370" t="s">
        <v>459</v>
      </c>
      <c r="AD58" s="354" t="s">
        <v>461</v>
      </c>
      <c r="AE58" s="354" t="s">
        <v>461</v>
      </c>
      <c r="AF58" s="354" t="s">
        <v>461</v>
      </c>
      <c r="AG58" s="354" t="s">
        <v>461</v>
      </c>
      <c r="AH58" s="354" t="s">
        <v>461</v>
      </c>
      <c r="AI58" s="354" t="s">
        <v>461</v>
      </c>
      <c r="AJ58" s="354" t="s">
        <v>461</v>
      </c>
      <c r="AK58" s="354" t="s">
        <v>461</v>
      </c>
      <c r="AL58" s="358" t="s">
        <v>98</v>
      </c>
      <c r="AM58" s="358" t="s">
        <v>98</v>
      </c>
      <c r="AN58" s="358" t="s">
        <v>98</v>
      </c>
      <c r="AO58" s="358" t="s">
        <v>98</v>
      </c>
      <c r="AP58" s="358" t="s">
        <v>98</v>
      </c>
      <c r="AQ58" s="387"/>
      <c r="AR58" s="388" t="s">
        <v>458</v>
      </c>
      <c r="AS58" s="388" t="s">
        <v>458</v>
      </c>
      <c r="AT58" s="388" t="s">
        <v>458</v>
      </c>
      <c r="AU58" s="388" t="s">
        <v>458</v>
      </c>
      <c r="AV58" s="388" t="s">
        <v>458</v>
      </c>
      <c r="AW58" s="388" t="s">
        <v>458</v>
      </c>
      <c r="AX58" s="388" t="s">
        <v>458</v>
      </c>
      <c r="AY58" s="388" t="s">
        <v>458</v>
      </c>
      <c r="AZ58" s="374" t="s">
        <v>459</v>
      </c>
      <c r="BA58" s="374" t="s">
        <v>458</v>
      </c>
      <c r="BB58" s="411" t="s">
        <v>471</v>
      </c>
      <c r="BC58" s="374" t="s">
        <v>459</v>
      </c>
      <c r="BD58" s="374" t="s">
        <v>459</v>
      </c>
      <c r="BE58" s="387"/>
      <c r="BF58" s="388" t="s">
        <v>458</v>
      </c>
      <c r="BG58" s="388" t="s">
        <v>458</v>
      </c>
      <c r="BH58" s="388" t="s">
        <v>458</v>
      </c>
      <c r="BI58" s="388" t="s">
        <v>458</v>
      </c>
      <c r="BJ58" s="388" t="s">
        <v>458</v>
      </c>
      <c r="BK58" s="388" t="s">
        <v>458</v>
      </c>
      <c r="BL58" s="388" t="s">
        <v>458</v>
      </c>
      <c r="BM58" s="388" t="s">
        <v>458</v>
      </c>
      <c r="BN58" s="388" t="s">
        <v>458</v>
      </c>
      <c r="BO58" s="388" t="s">
        <v>458</v>
      </c>
      <c r="BP58" s="374" t="s">
        <v>459</v>
      </c>
      <c r="BQ58" s="374" t="s">
        <v>459</v>
      </c>
      <c r="BR58" s="374" t="s">
        <v>459</v>
      </c>
      <c r="BS58" s="28"/>
      <c r="BT58" s="354" t="s">
        <v>461</v>
      </c>
      <c r="BU58" s="354" t="s">
        <v>461</v>
      </c>
      <c r="BV58" s="354" t="s">
        <v>461</v>
      </c>
      <c r="BW58" s="354" t="s">
        <v>461</v>
      </c>
      <c r="BX58" s="354" t="s">
        <v>461</v>
      </c>
      <c r="BY58" s="354" t="s">
        <v>461</v>
      </c>
      <c r="BZ58" s="354" t="s">
        <v>461</v>
      </c>
      <c r="CA58" s="354" t="s">
        <v>461</v>
      </c>
      <c r="CB58" s="358" t="s">
        <v>98</v>
      </c>
      <c r="CC58" s="358" t="s">
        <v>98</v>
      </c>
      <c r="CD58" s="358" t="s">
        <v>98</v>
      </c>
      <c r="CE58" s="358" t="s">
        <v>98</v>
      </c>
      <c r="CF58" s="358" t="s">
        <v>98</v>
      </c>
      <c r="CG58" s="387"/>
      <c r="CH58" s="388" t="s">
        <v>458</v>
      </c>
      <c r="CI58" s="388" t="s">
        <v>458</v>
      </c>
      <c r="CJ58" s="388" t="s">
        <v>458</v>
      </c>
      <c r="CK58" s="388" t="s">
        <v>458</v>
      </c>
      <c r="CL58" s="388" t="s">
        <v>458</v>
      </c>
      <c r="CM58" s="388" t="s">
        <v>458</v>
      </c>
      <c r="CN58" s="388" t="s">
        <v>458</v>
      </c>
      <c r="CO58" s="388" t="s">
        <v>458</v>
      </c>
      <c r="CP58" s="388" t="s">
        <v>459</v>
      </c>
      <c r="CQ58" s="388" t="s">
        <v>458</v>
      </c>
      <c r="CR58" s="374" t="s">
        <v>459</v>
      </c>
      <c r="CS58" s="374" t="s">
        <v>459</v>
      </c>
      <c r="CT58" s="374" t="s">
        <v>459</v>
      </c>
      <c r="CU58" s="387"/>
      <c r="CV58" s="388" t="s">
        <v>458</v>
      </c>
      <c r="CW58" s="388" t="s">
        <v>458</v>
      </c>
      <c r="CX58" s="388" t="s">
        <v>458</v>
      </c>
      <c r="CY58" s="388" t="s">
        <v>458</v>
      </c>
      <c r="CZ58" s="388" t="s">
        <v>458</v>
      </c>
      <c r="DA58" s="388" t="s">
        <v>458</v>
      </c>
      <c r="DB58" s="388" t="s">
        <v>458</v>
      </c>
      <c r="DC58" s="388" t="s">
        <v>458</v>
      </c>
      <c r="DD58" s="398" t="s">
        <v>459</v>
      </c>
      <c r="DE58" s="388" t="s">
        <v>458</v>
      </c>
      <c r="DF58" s="398" t="s">
        <v>459</v>
      </c>
      <c r="DG58" s="398" t="s">
        <v>459</v>
      </c>
      <c r="DH58" s="399" t="s">
        <v>459</v>
      </c>
    </row>
    <row r="59" spans="1:112" ht="89.25">
      <c r="A59" s="708" t="s">
        <v>24</v>
      </c>
      <c r="B59" s="354" t="s">
        <v>461</v>
      </c>
      <c r="C59" s="354" t="s">
        <v>461</v>
      </c>
      <c r="D59" s="354" t="s">
        <v>461</v>
      </c>
      <c r="E59" s="354" t="s">
        <v>461</v>
      </c>
      <c r="F59" s="354" t="s">
        <v>461</v>
      </c>
      <c r="G59" s="354" t="s">
        <v>461</v>
      </c>
      <c r="H59" s="354" t="s">
        <v>461</v>
      </c>
      <c r="I59" s="354" t="s">
        <v>461</v>
      </c>
      <c r="J59" s="358" t="s">
        <v>98</v>
      </c>
      <c r="K59" s="358" t="s">
        <v>98</v>
      </c>
      <c r="L59" s="358" t="s">
        <v>98</v>
      </c>
      <c r="M59" s="358" t="s">
        <v>98</v>
      </c>
      <c r="N59" s="358" t="s">
        <v>98</v>
      </c>
      <c r="P59" s="349" t="s">
        <v>457</v>
      </c>
      <c r="Q59" s="349" t="s">
        <v>457</v>
      </c>
      <c r="R59" s="349" t="s">
        <v>457</v>
      </c>
      <c r="S59" s="349" t="s">
        <v>457</v>
      </c>
      <c r="T59" s="351" t="s">
        <v>458</v>
      </c>
      <c r="U59" s="352" t="s">
        <v>458</v>
      </c>
      <c r="V59" s="351" t="s">
        <v>458</v>
      </c>
      <c r="W59" s="352" t="s">
        <v>458</v>
      </c>
      <c r="X59" s="362" t="s">
        <v>459</v>
      </c>
      <c r="Y59" s="351" t="s">
        <v>458</v>
      </c>
      <c r="Z59" s="370" t="s">
        <v>459</v>
      </c>
      <c r="AA59" s="370" t="s">
        <v>459</v>
      </c>
      <c r="AB59" s="370" t="s">
        <v>459</v>
      </c>
      <c r="AD59" s="354" t="s">
        <v>461</v>
      </c>
      <c r="AE59" s="354" t="s">
        <v>461</v>
      </c>
      <c r="AF59" s="354" t="s">
        <v>461</v>
      </c>
      <c r="AG59" s="354" t="s">
        <v>461</v>
      </c>
      <c r="AH59" s="354" t="s">
        <v>461</v>
      </c>
      <c r="AI59" s="354" t="s">
        <v>461</v>
      </c>
      <c r="AJ59" s="354" t="s">
        <v>461</v>
      </c>
      <c r="AK59" s="354" t="s">
        <v>461</v>
      </c>
      <c r="AL59" s="358" t="s">
        <v>98</v>
      </c>
      <c r="AM59" s="358" t="s">
        <v>98</v>
      </c>
      <c r="AN59" s="358" t="s">
        <v>98</v>
      </c>
      <c r="AO59" s="358" t="s">
        <v>98</v>
      </c>
      <c r="AP59" s="358" t="s">
        <v>98</v>
      </c>
      <c r="AQ59" s="387"/>
      <c r="AR59" s="388" t="s">
        <v>458</v>
      </c>
      <c r="AS59" s="388" t="s">
        <v>458</v>
      </c>
      <c r="AT59" s="388" t="s">
        <v>458</v>
      </c>
      <c r="AU59" s="388" t="s">
        <v>458</v>
      </c>
      <c r="AV59" s="388" t="s">
        <v>458</v>
      </c>
      <c r="AW59" s="388" t="s">
        <v>458</v>
      </c>
      <c r="AX59" s="388" t="s">
        <v>458</v>
      </c>
      <c r="AY59" s="388" t="s">
        <v>458</v>
      </c>
      <c r="AZ59" s="374" t="s">
        <v>459</v>
      </c>
      <c r="BA59" s="374" t="s">
        <v>458</v>
      </c>
      <c r="BB59" s="411" t="s">
        <v>471</v>
      </c>
      <c r="BC59" s="374" t="s">
        <v>459</v>
      </c>
      <c r="BD59" s="374" t="s">
        <v>459</v>
      </c>
      <c r="BE59" s="387"/>
      <c r="BF59" s="388" t="s">
        <v>458</v>
      </c>
      <c r="BG59" s="388" t="s">
        <v>458</v>
      </c>
      <c r="BH59" s="388" t="s">
        <v>458</v>
      </c>
      <c r="BI59" s="388" t="s">
        <v>458</v>
      </c>
      <c r="BJ59" s="388" t="s">
        <v>458</v>
      </c>
      <c r="BK59" s="388" t="s">
        <v>458</v>
      </c>
      <c r="BL59" s="388" t="s">
        <v>458</v>
      </c>
      <c r="BM59" s="388" t="s">
        <v>458</v>
      </c>
      <c r="BN59" s="388" t="s">
        <v>458</v>
      </c>
      <c r="BO59" s="388" t="s">
        <v>458</v>
      </c>
      <c r="BP59" s="374" t="s">
        <v>459</v>
      </c>
      <c r="BQ59" s="374" t="s">
        <v>459</v>
      </c>
      <c r="BR59" s="374" t="s">
        <v>459</v>
      </c>
      <c r="BS59" s="28"/>
      <c r="BT59" s="354" t="s">
        <v>461</v>
      </c>
      <c r="BU59" s="354" t="s">
        <v>461</v>
      </c>
      <c r="BV59" s="354" t="s">
        <v>461</v>
      </c>
      <c r="BW59" s="354" t="s">
        <v>461</v>
      </c>
      <c r="BX59" s="354" t="s">
        <v>461</v>
      </c>
      <c r="BY59" s="354" t="s">
        <v>461</v>
      </c>
      <c r="BZ59" s="354" t="s">
        <v>461</v>
      </c>
      <c r="CA59" s="354" t="s">
        <v>461</v>
      </c>
      <c r="CB59" s="358" t="s">
        <v>98</v>
      </c>
      <c r="CC59" s="358" t="s">
        <v>98</v>
      </c>
      <c r="CD59" s="358" t="s">
        <v>98</v>
      </c>
      <c r="CE59" s="358" t="s">
        <v>98</v>
      </c>
      <c r="CF59" s="358" t="s">
        <v>98</v>
      </c>
      <c r="CG59" s="387"/>
      <c r="CH59" s="388" t="s">
        <v>458</v>
      </c>
      <c r="CI59" s="388" t="s">
        <v>458</v>
      </c>
      <c r="CJ59" s="388" t="s">
        <v>458</v>
      </c>
      <c r="CK59" s="388" t="s">
        <v>458</v>
      </c>
      <c r="CL59" s="388" t="s">
        <v>458</v>
      </c>
      <c r="CM59" s="388" t="s">
        <v>458</v>
      </c>
      <c r="CN59" s="388" t="s">
        <v>458</v>
      </c>
      <c r="CO59" s="388" t="s">
        <v>458</v>
      </c>
      <c r="CP59" s="388" t="s">
        <v>459</v>
      </c>
      <c r="CQ59" s="388" t="s">
        <v>458</v>
      </c>
      <c r="CR59" s="374" t="s">
        <v>459</v>
      </c>
      <c r="CS59" s="374" t="s">
        <v>459</v>
      </c>
      <c r="CT59" s="374" t="s">
        <v>459</v>
      </c>
      <c r="CU59" s="387"/>
      <c r="CV59" s="388" t="s">
        <v>458</v>
      </c>
      <c r="CW59" s="388" t="s">
        <v>458</v>
      </c>
      <c r="CX59" s="388" t="s">
        <v>458</v>
      </c>
      <c r="CY59" s="388" t="s">
        <v>458</v>
      </c>
      <c r="CZ59" s="388" t="s">
        <v>458</v>
      </c>
      <c r="DA59" s="388" t="s">
        <v>458</v>
      </c>
      <c r="DB59" s="388" t="s">
        <v>458</v>
      </c>
      <c r="DC59" s="388" t="s">
        <v>458</v>
      </c>
      <c r="DD59" s="398" t="s">
        <v>459</v>
      </c>
      <c r="DE59" s="388" t="s">
        <v>458</v>
      </c>
      <c r="DF59" s="398" t="s">
        <v>459</v>
      </c>
      <c r="DG59" s="398" t="s">
        <v>459</v>
      </c>
      <c r="DH59" s="399" t="s">
        <v>459</v>
      </c>
    </row>
    <row r="60" spans="1:112" ht="114.75">
      <c r="A60" s="708" t="s">
        <v>25</v>
      </c>
      <c r="B60" s="354" t="s">
        <v>461</v>
      </c>
      <c r="C60" s="354" t="s">
        <v>461</v>
      </c>
      <c r="D60" s="354" t="s">
        <v>461</v>
      </c>
      <c r="E60" s="354" t="s">
        <v>461</v>
      </c>
      <c r="F60" s="354" t="s">
        <v>461</v>
      </c>
      <c r="G60" s="354" t="s">
        <v>461</v>
      </c>
      <c r="H60" s="354" t="s">
        <v>461</v>
      </c>
      <c r="I60" s="354" t="s">
        <v>461</v>
      </c>
      <c r="J60" s="358" t="s">
        <v>98</v>
      </c>
      <c r="K60" s="358" t="s">
        <v>98</v>
      </c>
      <c r="L60" s="358" t="s">
        <v>98</v>
      </c>
      <c r="M60" s="358" t="s">
        <v>98</v>
      </c>
      <c r="N60" s="358" t="s">
        <v>98</v>
      </c>
      <c r="P60" s="350" t="s">
        <v>472</v>
      </c>
      <c r="Q60" s="350" t="s">
        <v>473</v>
      </c>
      <c r="R60" s="350" t="s">
        <v>474</v>
      </c>
      <c r="S60" s="350" t="s">
        <v>475</v>
      </c>
      <c r="T60" s="350" t="s">
        <v>463</v>
      </c>
      <c r="U60" s="353" t="s">
        <v>464</v>
      </c>
      <c r="V60" s="350" t="s">
        <v>465</v>
      </c>
      <c r="W60" s="353" t="s">
        <v>466</v>
      </c>
      <c r="X60" s="362" t="s">
        <v>468</v>
      </c>
      <c r="Y60" s="372" t="s">
        <v>467</v>
      </c>
      <c r="Z60" s="362" t="s">
        <v>468</v>
      </c>
      <c r="AA60" s="362" t="s">
        <v>468</v>
      </c>
      <c r="AB60" s="362" t="s">
        <v>468</v>
      </c>
      <c r="AD60" s="354" t="s">
        <v>461</v>
      </c>
      <c r="AE60" s="354" t="s">
        <v>461</v>
      </c>
      <c r="AF60" s="354" t="s">
        <v>461</v>
      </c>
      <c r="AG60" s="354" t="s">
        <v>461</v>
      </c>
      <c r="AH60" s="354" t="s">
        <v>461</v>
      </c>
      <c r="AI60" s="354" t="s">
        <v>461</v>
      </c>
      <c r="AJ60" s="354" t="s">
        <v>461</v>
      </c>
      <c r="AK60" s="354" t="s">
        <v>461</v>
      </c>
      <c r="AL60" s="358" t="s">
        <v>98</v>
      </c>
      <c r="AM60" s="358" t="s">
        <v>98</v>
      </c>
      <c r="AN60" s="358" t="s">
        <v>98</v>
      </c>
      <c r="AO60" s="358" t="s">
        <v>98</v>
      </c>
      <c r="AP60" s="358" t="s">
        <v>98</v>
      </c>
      <c r="AQ60" s="387"/>
      <c r="AR60" s="388" t="s">
        <v>458</v>
      </c>
      <c r="AS60" s="388" t="s">
        <v>458</v>
      </c>
      <c r="AT60" s="388" t="s">
        <v>458</v>
      </c>
      <c r="AU60" s="388" t="s">
        <v>458</v>
      </c>
      <c r="AV60" s="388" t="s">
        <v>458</v>
      </c>
      <c r="AW60" s="388" t="s">
        <v>458</v>
      </c>
      <c r="AX60" s="388" t="s">
        <v>458</v>
      </c>
      <c r="AY60" s="388" t="s">
        <v>458</v>
      </c>
      <c r="AZ60" s="374" t="s">
        <v>459</v>
      </c>
      <c r="BA60" s="374" t="s">
        <v>458</v>
      </c>
      <c r="BB60" s="411" t="s">
        <v>471</v>
      </c>
      <c r="BC60" s="374" t="s">
        <v>459</v>
      </c>
      <c r="BD60" s="374" t="s">
        <v>459</v>
      </c>
      <c r="BE60" s="387"/>
      <c r="BF60" s="388" t="s">
        <v>458</v>
      </c>
      <c r="BG60" s="388" t="s">
        <v>458</v>
      </c>
      <c r="BH60" s="388" t="s">
        <v>458</v>
      </c>
      <c r="BI60" s="388" t="s">
        <v>458</v>
      </c>
      <c r="BJ60" s="388" t="s">
        <v>458</v>
      </c>
      <c r="BK60" s="388" t="s">
        <v>458</v>
      </c>
      <c r="BL60" s="388" t="s">
        <v>458</v>
      </c>
      <c r="BM60" s="388" t="s">
        <v>458</v>
      </c>
      <c r="BN60" s="388" t="s">
        <v>458</v>
      </c>
      <c r="BO60" s="388" t="s">
        <v>539</v>
      </c>
      <c r="BP60" s="374" t="s">
        <v>468</v>
      </c>
      <c r="BQ60" s="374" t="s">
        <v>468</v>
      </c>
      <c r="BR60" s="374" t="s">
        <v>468</v>
      </c>
      <c r="BS60" s="28"/>
      <c r="BT60" s="354" t="s">
        <v>461</v>
      </c>
      <c r="BU60" s="354" t="s">
        <v>461</v>
      </c>
      <c r="BV60" s="354" t="s">
        <v>461</v>
      </c>
      <c r="BW60" s="354" t="s">
        <v>461</v>
      </c>
      <c r="BX60" s="354" t="s">
        <v>461</v>
      </c>
      <c r="BY60" s="354" t="s">
        <v>461</v>
      </c>
      <c r="BZ60" s="354" t="s">
        <v>461</v>
      </c>
      <c r="CA60" s="354" t="s">
        <v>461</v>
      </c>
      <c r="CB60" s="358" t="s">
        <v>98</v>
      </c>
      <c r="CC60" s="358" t="s">
        <v>98</v>
      </c>
      <c r="CD60" s="358" t="s">
        <v>98</v>
      </c>
      <c r="CE60" s="358" t="s">
        <v>98</v>
      </c>
      <c r="CF60" s="358" t="s">
        <v>98</v>
      </c>
      <c r="CG60" s="387"/>
      <c r="CH60" s="388" t="s">
        <v>458</v>
      </c>
      <c r="CI60" s="388" t="s">
        <v>458</v>
      </c>
      <c r="CJ60" s="388" t="s">
        <v>458</v>
      </c>
      <c r="CK60" s="388" t="s">
        <v>458</v>
      </c>
      <c r="CL60" s="388" t="s">
        <v>458</v>
      </c>
      <c r="CM60" s="388" t="s">
        <v>458</v>
      </c>
      <c r="CN60" s="388" t="s">
        <v>458</v>
      </c>
      <c r="CO60" s="388" t="s">
        <v>458</v>
      </c>
      <c r="CP60" s="388" t="s">
        <v>538</v>
      </c>
      <c r="CQ60" s="388" t="s">
        <v>539</v>
      </c>
      <c r="CR60" s="374" t="s">
        <v>468</v>
      </c>
      <c r="CS60" s="374" t="s">
        <v>468</v>
      </c>
      <c r="CT60" s="374" t="s">
        <v>468</v>
      </c>
      <c r="CU60" s="387"/>
      <c r="CV60" s="388" t="s">
        <v>458</v>
      </c>
      <c r="CW60" s="388" t="s">
        <v>458</v>
      </c>
      <c r="CX60" s="388" t="s">
        <v>458</v>
      </c>
      <c r="CY60" s="388" t="s">
        <v>458</v>
      </c>
      <c r="CZ60" s="388" t="s">
        <v>458</v>
      </c>
      <c r="DA60" s="388" t="s">
        <v>458</v>
      </c>
      <c r="DB60" s="388" t="s">
        <v>458</v>
      </c>
      <c r="DC60" s="388" t="s">
        <v>458</v>
      </c>
      <c r="DD60" s="388" t="s">
        <v>538</v>
      </c>
      <c r="DE60" s="388" t="s">
        <v>539</v>
      </c>
      <c r="DF60" s="388" t="s">
        <v>538</v>
      </c>
      <c r="DG60" s="388" t="s">
        <v>538</v>
      </c>
      <c r="DH60" s="388" t="s">
        <v>538</v>
      </c>
    </row>
    <row r="61" spans="1:112" ht="89.25">
      <c r="A61" s="708" t="s">
        <v>26</v>
      </c>
      <c r="B61" s="354" t="s">
        <v>461</v>
      </c>
      <c r="C61" s="354" t="s">
        <v>461</v>
      </c>
      <c r="D61" s="354" t="s">
        <v>461</v>
      </c>
      <c r="E61" s="354" t="s">
        <v>461</v>
      </c>
      <c r="F61" s="354" t="s">
        <v>461</v>
      </c>
      <c r="G61" s="354" t="s">
        <v>461</v>
      </c>
      <c r="H61" s="354" t="s">
        <v>461</v>
      </c>
      <c r="I61" s="354" t="s">
        <v>461</v>
      </c>
      <c r="J61" s="358" t="s">
        <v>98</v>
      </c>
      <c r="K61" s="358" t="s">
        <v>98</v>
      </c>
      <c r="L61" s="358" t="s">
        <v>98</v>
      </c>
      <c r="M61" s="358" t="s">
        <v>98</v>
      </c>
      <c r="N61" s="358" t="s">
        <v>98</v>
      </c>
      <c r="P61" s="349" t="s">
        <v>457</v>
      </c>
      <c r="Q61" s="349" t="s">
        <v>457</v>
      </c>
      <c r="R61" s="349" t="s">
        <v>457</v>
      </c>
      <c r="S61" s="349" t="s">
        <v>457</v>
      </c>
      <c r="T61" s="351" t="s">
        <v>458</v>
      </c>
      <c r="U61" s="359" t="s">
        <v>458</v>
      </c>
      <c r="V61" s="351" t="s">
        <v>458</v>
      </c>
      <c r="W61" s="359" t="s">
        <v>458</v>
      </c>
      <c r="X61" s="366" t="s">
        <v>459</v>
      </c>
      <c r="Y61" s="355" t="s">
        <v>458</v>
      </c>
      <c r="Z61" s="370" t="s">
        <v>459</v>
      </c>
      <c r="AA61" s="370" t="s">
        <v>459</v>
      </c>
      <c r="AB61" s="370" t="s">
        <v>459</v>
      </c>
      <c r="AD61" s="354" t="s">
        <v>461</v>
      </c>
      <c r="AE61" s="354" t="s">
        <v>461</v>
      </c>
      <c r="AF61" s="354" t="s">
        <v>461</v>
      </c>
      <c r="AG61" s="354" t="s">
        <v>461</v>
      </c>
      <c r="AH61" s="354" t="s">
        <v>461</v>
      </c>
      <c r="AI61" s="354" t="s">
        <v>461</v>
      </c>
      <c r="AJ61" s="354" t="s">
        <v>461</v>
      </c>
      <c r="AK61" s="354" t="s">
        <v>461</v>
      </c>
      <c r="AL61" s="358" t="s">
        <v>98</v>
      </c>
      <c r="AM61" s="358" t="s">
        <v>98</v>
      </c>
      <c r="AN61" s="358" t="s">
        <v>98</v>
      </c>
      <c r="AO61" s="358" t="s">
        <v>98</v>
      </c>
      <c r="AP61" s="358" t="s">
        <v>98</v>
      </c>
      <c r="AQ61" s="387"/>
      <c r="AR61" s="388" t="s">
        <v>458</v>
      </c>
      <c r="AS61" s="388" t="s">
        <v>458</v>
      </c>
      <c r="AT61" s="388" t="s">
        <v>458</v>
      </c>
      <c r="AU61" s="388" t="s">
        <v>458</v>
      </c>
      <c r="AV61" s="388" t="s">
        <v>458</v>
      </c>
      <c r="AW61" s="388" t="s">
        <v>458</v>
      </c>
      <c r="AX61" s="388" t="s">
        <v>458</v>
      </c>
      <c r="AY61" s="388" t="s">
        <v>458</v>
      </c>
      <c r="AZ61" s="374" t="s">
        <v>459</v>
      </c>
      <c r="BA61" s="374" t="s">
        <v>458</v>
      </c>
      <c r="BB61" s="411" t="s">
        <v>471</v>
      </c>
      <c r="BC61" s="374" t="s">
        <v>459</v>
      </c>
      <c r="BD61" s="374" t="s">
        <v>459</v>
      </c>
      <c r="BE61" s="387"/>
      <c r="BF61" s="388" t="s">
        <v>458</v>
      </c>
      <c r="BG61" s="388" t="s">
        <v>458</v>
      </c>
      <c r="BH61" s="388" t="s">
        <v>458</v>
      </c>
      <c r="BI61" s="388" t="s">
        <v>458</v>
      </c>
      <c r="BJ61" s="388" t="s">
        <v>458</v>
      </c>
      <c r="BK61" s="388" t="s">
        <v>458</v>
      </c>
      <c r="BL61" s="388" t="s">
        <v>458</v>
      </c>
      <c r="BM61" s="388" t="s">
        <v>458</v>
      </c>
      <c r="BN61" s="388" t="s">
        <v>458</v>
      </c>
      <c r="BO61" s="388" t="s">
        <v>458</v>
      </c>
      <c r="BP61" s="374" t="s">
        <v>459</v>
      </c>
      <c r="BQ61" s="374" t="s">
        <v>459</v>
      </c>
      <c r="BR61" s="374" t="s">
        <v>459</v>
      </c>
      <c r="BS61" s="28"/>
      <c r="BT61" s="354" t="s">
        <v>461</v>
      </c>
      <c r="BU61" s="354" t="s">
        <v>461</v>
      </c>
      <c r="BV61" s="354" t="s">
        <v>461</v>
      </c>
      <c r="BW61" s="354" t="s">
        <v>461</v>
      </c>
      <c r="BX61" s="354" t="s">
        <v>461</v>
      </c>
      <c r="BY61" s="354" t="s">
        <v>461</v>
      </c>
      <c r="BZ61" s="354" t="s">
        <v>461</v>
      </c>
      <c r="CA61" s="354" t="s">
        <v>461</v>
      </c>
      <c r="CB61" s="358" t="s">
        <v>98</v>
      </c>
      <c r="CC61" s="358" t="s">
        <v>98</v>
      </c>
      <c r="CD61" s="358" t="s">
        <v>98</v>
      </c>
      <c r="CE61" s="358" t="s">
        <v>98</v>
      </c>
      <c r="CF61" s="358" t="s">
        <v>98</v>
      </c>
      <c r="CG61" s="387"/>
      <c r="CH61" s="388" t="s">
        <v>458</v>
      </c>
      <c r="CI61" s="388" t="s">
        <v>458</v>
      </c>
      <c r="CJ61" s="388" t="s">
        <v>458</v>
      </c>
      <c r="CK61" s="388" t="s">
        <v>458</v>
      </c>
      <c r="CL61" s="388" t="s">
        <v>458</v>
      </c>
      <c r="CM61" s="388" t="s">
        <v>458</v>
      </c>
      <c r="CN61" s="388" t="s">
        <v>458</v>
      </c>
      <c r="CO61" s="388" t="s">
        <v>458</v>
      </c>
      <c r="CP61" s="388" t="s">
        <v>459</v>
      </c>
      <c r="CQ61" s="388" t="s">
        <v>458</v>
      </c>
      <c r="CR61" s="374" t="s">
        <v>459</v>
      </c>
      <c r="CS61" s="374" t="s">
        <v>459</v>
      </c>
      <c r="CT61" s="374" t="s">
        <v>459</v>
      </c>
      <c r="CU61" s="387"/>
      <c r="CV61" s="388" t="s">
        <v>458</v>
      </c>
      <c r="CW61" s="388" t="s">
        <v>458</v>
      </c>
      <c r="CX61" s="388" t="s">
        <v>458</v>
      </c>
      <c r="CY61" s="388" t="s">
        <v>458</v>
      </c>
      <c r="CZ61" s="388" t="s">
        <v>458</v>
      </c>
      <c r="DA61" s="388" t="s">
        <v>458</v>
      </c>
      <c r="DB61" s="388" t="s">
        <v>458</v>
      </c>
      <c r="DC61" s="388" t="s">
        <v>458</v>
      </c>
      <c r="DD61" s="398" t="s">
        <v>459</v>
      </c>
      <c r="DE61" s="388" t="s">
        <v>458</v>
      </c>
      <c r="DF61" s="398" t="s">
        <v>459</v>
      </c>
      <c r="DG61" s="398" t="s">
        <v>459</v>
      </c>
      <c r="DH61" s="399" t="s">
        <v>459</v>
      </c>
    </row>
    <row r="62" spans="1:112" ht="89.25">
      <c r="A62" s="708" t="s">
        <v>27</v>
      </c>
      <c r="B62" s="354" t="s">
        <v>461</v>
      </c>
      <c r="C62" s="354" t="s">
        <v>461</v>
      </c>
      <c r="D62" s="354" t="s">
        <v>461</v>
      </c>
      <c r="E62" s="354" t="s">
        <v>461</v>
      </c>
      <c r="F62" s="354" t="s">
        <v>461</v>
      </c>
      <c r="G62" s="354" t="s">
        <v>461</v>
      </c>
      <c r="H62" s="354" t="s">
        <v>461</v>
      </c>
      <c r="I62" s="354" t="s">
        <v>461</v>
      </c>
      <c r="J62" s="358" t="s">
        <v>98</v>
      </c>
      <c r="K62" s="358" t="s">
        <v>98</v>
      </c>
      <c r="L62" s="358" t="s">
        <v>98</v>
      </c>
      <c r="M62" s="358" t="s">
        <v>98</v>
      </c>
      <c r="N62" s="358" t="s">
        <v>98</v>
      </c>
      <c r="P62" s="349" t="s">
        <v>457</v>
      </c>
      <c r="Q62" s="349" t="s">
        <v>457</v>
      </c>
      <c r="R62" s="349" t="s">
        <v>457</v>
      </c>
      <c r="S62" s="349" t="s">
        <v>457</v>
      </c>
      <c r="T62" s="351" t="s">
        <v>458</v>
      </c>
      <c r="U62" s="352" t="s">
        <v>458</v>
      </c>
      <c r="V62" s="351" t="s">
        <v>458</v>
      </c>
      <c r="W62" s="352" t="s">
        <v>458</v>
      </c>
      <c r="X62" s="362" t="s">
        <v>459</v>
      </c>
      <c r="Y62" s="351" t="s">
        <v>458</v>
      </c>
      <c r="Z62" s="370" t="s">
        <v>459</v>
      </c>
      <c r="AA62" s="370" t="s">
        <v>459</v>
      </c>
      <c r="AB62" s="370" t="s">
        <v>459</v>
      </c>
      <c r="AD62" s="354" t="s">
        <v>461</v>
      </c>
      <c r="AE62" s="354" t="s">
        <v>461</v>
      </c>
      <c r="AF62" s="354" t="s">
        <v>461</v>
      </c>
      <c r="AG62" s="354" t="s">
        <v>461</v>
      </c>
      <c r="AH62" s="354" t="s">
        <v>461</v>
      </c>
      <c r="AI62" s="354" t="s">
        <v>461</v>
      </c>
      <c r="AJ62" s="354" t="s">
        <v>461</v>
      </c>
      <c r="AK62" s="354" t="s">
        <v>461</v>
      </c>
      <c r="AL62" s="358" t="s">
        <v>98</v>
      </c>
      <c r="AM62" s="358" t="s">
        <v>98</v>
      </c>
      <c r="AN62" s="358" t="s">
        <v>98</v>
      </c>
      <c r="AO62" s="358" t="s">
        <v>98</v>
      </c>
      <c r="AP62" s="358" t="s">
        <v>98</v>
      </c>
      <c r="AQ62" s="387"/>
      <c r="AR62" s="388" t="s">
        <v>458</v>
      </c>
      <c r="AS62" s="388" t="s">
        <v>458</v>
      </c>
      <c r="AT62" s="388" t="s">
        <v>458</v>
      </c>
      <c r="AU62" s="388" t="s">
        <v>458</v>
      </c>
      <c r="AV62" s="388" t="s">
        <v>458</v>
      </c>
      <c r="AW62" s="388" t="s">
        <v>458</v>
      </c>
      <c r="AX62" s="388" t="s">
        <v>458</v>
      </c>
      <c r="AY62" s="388" t="s">
        <v>458</v>
      </c>
      <c r="AZ62" s="374" t="s">
        <v>459</v>
      </c>
      <c r="BA62" s="374" t="s">
        <v>458</v>
      </c>
      <c r="BB62" s="411" t="s">
        <v>471</v>
      </c>
      <c r="BC62" s="374" t="s">
        <v>459</v>
      </c>
      <c r="BD62" s="374" t="s">
        <v>459</v>
      </c>
      <c r="BE62" s="387"/>
      <c r="BF62" s="388" t="s">
        <v>458</v>
      </c>
      <c r="BG62" s="388" t="s">
        <v>458</v>
      </c>
      <c r="BH62" s="388" t="s">
        <v>458</v>
      </c>
      <c r="BI62" s="388" t="s">
        <v>458</v>
      </c>
      <c r="BJ62" s="388" t="s">
        <v>458</v>
      </c>
      <c r="BK62" s="388" t="s">
        <v>458</v>
      </c>
      <c r="BL62" s="388" t="s">
        <v>458</v>
      </c>
      <c r="BM62" s="388" t="s">
        <v>458</v>
      </c>
      <c r="BN62" s="388" t="s">
        <v>458</v>
      </c>
      <c r="BO62" s="388" t="s">
        <v>458</v>
      </c>
      <c r="BP62" s="374" t="s">
        <v>459</v>
      </c>
      <c r="BQ62" s="374" t="s">
        <v>459</v>
      </c>
      <c r="BR62" s="374" t="s">
        <v>459</v>
      </c>
      <c r="BS62" s="28"/>
      <c r="BT62" s="354" t="s">
        <v>461</v>
      </c>
      <c r="BU62" s="354" t="s">
        <v>461</v>
      </c>
      <c r="BV62" s="354" t="s">
        <v>461</v>
      </c>
      <c r="BW62" s="354" t="s">
        <v>461</v>
      </c>
      <c r="BX62" s="354" t="s">
        <v>461</v>
      </c>
      <c r="BY62" s="354" t="s">
        <v>461</v>
      </c>
      <c r="BZ62" s="354" t="s">
        <v>461</v>
      </c>
      <c r="CA62" s="354" t="s">
        <v>461</v>
      </c>
      <c r="CB62" s="358" t="s">
        <v>98</v>
      </c>
      <c r="CC62" s="358" t="s">
        <v>98</v>
      </c>
      <c r="CD62" s="358" t="s">
        <v>98</v>
      </c>
      <c r="CE62" s="358" t="s">
        <v>98</v>
      </c>
      <c r="CF62" s="358" t="s">
        <v>98</v>
      </c>
      <c r="CG62" s="387"/>
      <c r="CH62" s="388" t="s">
        <v>458</v>
      </c>
      <c r="CI62" s="388" t="s">
        <v>458</v>
      </c>
      <c r="CJ62" s="388" t="s">
        <v>458</v>
      </c>
      <c r="CK62" s="388" t="s">
        <v>458</v>
      </c>
      <c r="CL62" s="388" t="s">
        <v>458</v>
      </c>
      <c r="CM62" s="388" t="s">
        <v>458</v>
      </c>
      <c r="CN62" s="388" t="s">
        <v>458</v>
      </c>
      <c r="CO62" s="388" t="s">
        <v>458</v>
      </c>
      <c r="CP62" s="388" t="s">
        <v>459</v>
      </c>
      <c r="CQ62" s="388" t="s">
        <v>458</v>
      </c>
      <c r="CR62" s="374" t="s">
        <v>459</v>
      </c>
      <c r="CS62" s="374" t="s">
        <v>459</v>
      </c>
      <c r="CT62" s="374" t="s">
        <v>459</v>
      </c>
      <c r="CU62" s="387"/>
      <c r="CV62" s="388" t="s">
        <v>458</v>
      </c>
      <c r="CW62" s="388" t="s">
        <v>458</v>
      </c>
      <c r="CX62" s="388" t="s">
        <v>458</v>
      </c>
      <c r="CY62" s="388" t="s">
        <v>458</v>
      </c>
      <c r="CZ62" s="388" t="s">
        <v>458</v>
      </c>
      <c r="DA62" s="388" t="s">
        <v>458</v>
      </c>
      <c r="DB62" s="388" t="s">
        <v>458</v>
      </c>
      <c r="DC62" s="388" t="s">
        <v>458</v>
      </c>
      <c r="DD62" s="398" t="s">
        <v>459</v>
      </c>
      <c r="DE62" s="388" t="s">
        <v>458</v>
      </c>
      <c r="DF62" s="398" t="s">
        <v>459</v>
      </c>
      <c r="DG62" s="398" t="s">
        <v>459</v>
      </c>
      <c r="DH62" s="399" t="s">
        <v>459</v>
      </c>
    </row>
    <row r="63" spans="1:112" ht="89.25">
      <c r="A63" s="708" t="s">
        <v>28</v>
      </c>
      <c r="B63" s="354" t="s">
        <v>461</v>
      </c>
      <c r="C63" s="354" t="s">
        <v>461</v>
      </c>
      <c r="D63" s="354" t="s">
        <v>461</v>
      </c>
      <c r="E63" s="354" t="s">
        <v>461</v>
      </c>
      <c r="F63" s="354" t="s">
        <v>461</v>
      </c>
      <c r="G63" s="354" t="s">
        <v>461</v>
      </c>
      <c r="H63" s="354" t="s">
        <v>461</v>
      </c>
      <c r="I63" s="354" t="s">
        <v>461</v>
      </c>
      <c r="J63" s="358" t="s">
        <v>98</v>
      </c>
      <c r="K63" s="358" t="s">
        <v>98</v>
      </c>
      <c r="L63" s="358" t="s">
        <v>98</v>
      </c>
      <c r="M63" s="358" t="s">
        <v>98</v>
      </c>
      <c r="N63" s="358" t="s">
        <v>98</v>
      </c>
      <c r="P63" s="349" t="s">
        <v>457</v>
      </c>
      <c r="Q63" s="349" t="s">
        <v>457</v>
      </c>
      <c r="R63" s="349" t="s">
        <v>457</v>
      </c>
      <c r="S63" s="349" t="s">
        <v>457</v>
      </c>
      <c r="T63" s="351" t="s">
        <v>458</v>
      </c>
      <c r="U63" s="352" t="s">
        <v>458</v>
      </c>
      <c r="V63" s="351" t="s">
        <v>458</v>
      </c>
      <c r="W63" s="352" t="s">
        <v>458</v>
      </c>
      <c r="X63" s="362" t="s">
        <v>459</v>
      </c>
      <c r="Y63" s="351" t="s">
        <v>458</v>
      </c>
      <c r="Z63" s="370" t="s">
        <v>459</v>
      </c>
      <c r="AA63" s="370" t="s">
        <v>459</v>
      </c>
      <c r="AB63" s="370" t="s">
        <v>459</v>
      </c>
      <c r="AD63" s="354" t="s">
        <v>461</v>
      </c>
      <c r="AE63" s="354" t="s">
        <v>461</v>
      </c>
      <c r="AF63" s="354" t="s">
        <v>461</v>
      </c>
      <c r="AG63" s="354" t="s">
        <v>461</v>
      </c>
      <c r="AH63" s="354" t="s">
        <v>461</v>
      </c>
      <c r="AI63" s="354" t="s">
        <v>461</v>
      </c>
      <c r="AJ63" s="354" t="s">
        <v>461</v>
      </c>
      <c r="AK63" s="354" t="s">
        <v>461</v>
      </c>
      <c r="AL63" s="358" t="s">
        <v>98</v>
      </c>
      <c r="AM63" s="358" t="s">
        <v>98</v>
      </c>
      <c r="AN63" s="358" t="s">
        <v>98</v>
      </c>
      <c r="AO63" s="358" t="s">
        <v>98</v>
      </c>
      <c r="AP63" s="358" t="s">
        <v>98</v>
      </c>
      <c r="AQ63" s="387"/>
      <c r="AR63" s="388" t="s">
        <v>458</v>
      </c>
      <c r="AS63" s="388" t="s">
        <v>458</v>
      </c>
      <c r="AT63" s="388" t="s">
        <v>458</v>
      </c>
      <c r="AU63" s="388" t="s">
        <v>458</v>
      </c>
      <c r="AV63" s="388" t="s">
        <v>458</v>
      </c>
      <c r="AW63" s="388" t="s">
        <v>458</v>
      </c>
      <c r="AX63" s="388" t="s">
        <v>458</v>
      </c>
      <c r="AY63" s="388" t="s">
        <v>458</v>
      </c>
      <c r="AZ63" s="374" t="s">
        <v>459</v>
      </c>
      <c r="BA63" s="374" t="s">
        <v>458</v>
      </c>
      <c r="BB63" s="411" t="s">
        <v>471</v>
      </c>
      <c r="BC63" s="374" t="s">
        <v>459</v>
      </c>
      <c r="BD63" s="374" t="s">
        <v>459</v>
      </c>
      <c r="BE63" s="387"/>
      <c r="BF63" s="388" t="s">
        <v>458</v>
      </c>
      <c r="BG63" s="388" t="s">
        <v>458</v>
      </c>
      <c r="BH63" s="388" t="s">
        <v>458</v>
      </c>
      <c r="BI63" s="388" t="s">
        <v>458</v>
      </c>
      <c r="BJ63" s="388" t="s">
        <v>458</v>
      </c>
      <c r="BK63" s="388" t="s">
        <v>458</v>
      </c>
      <c r="BL63" s="388" t="s">
        <v>458</v>
      </c>
      <c r="BM63" s="388" t="s">
        <v>458</v>
      </c>
      <c r="BN63" s="388" t="s">
        <v>458</v>
      </c>
      <c r="BO63" s="388" t="s">
        <v>458</v>
      </c>
      <c r="BP63" s="374" t="s">
        <v>459</v>
      </c>
      <c r="BQ63" s="374" t="s">
        <v>459</v>
      </c>
      <c r="BR63" s="374" t="s">
        <v>459</v>
      </c>
      <c r="BS63" s="28"/>
      <c r="BT63" s="354" t="s">
        <v>461</v>
      </c>
      <c r="BU63" s="354" t="s">
        <v>461</v>
      </c>
      <c r="BV63" s="354" t="s">
        <v>461</v>
      </c>
      <c r="BW63" s="354" t="s">
        <v>461</v>
      </c>
      <c r="BX63" s="354" t="s">
        <v>461</v>
      </c>
      <c r="BY63" s="354" t="s">
        <v>461</v>
      </c>
      <c r="BZ63" s="354" t="s">
        <v>461</v>
      </c>
      <c r="CA63" s="354" t="s">
        <v>461</v>
      </c>
      <c r="CB63" s="358" t="s">
        <v>98</v>
      </c>
      <c r="CC63" s="358" t="s">
        <v>98</v>
      </c>
      <c r="CD63" s="358" t="s">
        <v>98</v>
      </c>
      <c r="CE63" s="358" t="s">
        <v>98</v>
      </c>
      <c r="CF63" s="358" t="s">
        <v>98</v>
      </c>
      <c r="CG63" s="387"/>
      <c r="CH63" s="388" t="s">
        <v>458</v>
      </c>
      <c r="CI63" s="388" t="s">
        <v>458</v>
      </c>
      <c r="CJ63" s="388" t="s">
        <v>458</v>
      </c>
      <c r="CK63" s="388" t="s">
        <v>458</v>
      </c>
      <c r="CL63" s="388" t="s">
        <v>458</v>
      </c>
      <c r="CM63" s="388" t="s">
        <v>458</v>
      </c>
      <c r="CN63" s="388" t="s">
        <v>458</v>
      </c>
      <c r="CO63" s="388" t="s">
        <v>458</v>
      </c>
      <c r="CP63" s="388" t="s">
        <v>459</v>
      </c>
      <c r="CQ63" s="388" t="s">
        <v>458</v>
      </c>
      <c r="CR63" s="374" t="s">
        <v>459</v>
      </c>
      <c r="CS63" s="374" t="s">
        <v>459</v>
      </c>
      <c r="CT63" s="374" t="s">
        <v>459</v>
      </c>
      <c r="CU63" s="387"/>
      <c r="CV63" s="388" t="s">
        <v>458</v>
      </c>
      <c r="CW63" s="388" t="s">
        <v>458</v>
      </c>
      <c r="CX63" s="388" t="s">
        <v>458</v>
      </c>
      <c r="CY63" s="388" t="s">
        <v>458</v>
      </c>
      <c r="CZ63" s="388" t="s">
        <v>458</v>
      </c>
      <c r="DA63" s="388" t="s">
        <v>458</v>
      </c>
      <c r="DB63" s="388" t="s">
        <v>458</v>
      </c>
      <c r="DC63" s="388" t="s">
        <v>458</v>
      </c>
      <c r="DD63" s="398" t="s">
        <v>459</v>
      </c>
      <c r="DE63" s="388" t="s">
        <v>458</v>
      </c>
      <c r="DF63" s="398" t="s">
        <v>459</v>
      </c>
      <c r="DG63" s="398" t="s">
        <v>459</v>
      </c>
      <c r="DH63" s="399" t="s">
        <v>459</v>
      </c>
    </row>
    <row r="64" spans="1:112" ht="89.25">
      <c r="A64" s="708" t="s">
        <v>29</v>
      </c>
      <c r="B64" s="354" t="s">
        <v>461</v>
      </c>
      <c r="C64" s="354" t="s">
        <v>461</v>
      </c>
      <c r="D64" s="354" t="s">
        <v>461</v>
      </c>
      <c r="E64" s="354" t="s">
        <v>461</v>
      </c>
      <c r="F64" s="354" t="s">
        <v>461</v>
      </c>
      <c r="G64" s="354" t="s">
        <v>461</v>
      </c>
      <c r="H64" s="354" t="s">
        <v>461</v>
      </c>
      <c r="I64" s="354" t="s">
        <v>461</v>
      </c>
      <c r="J64" s="358" t="s">
        <v>98</v>
      </c>
      <c r="K64" s="358" t="s">
        <v>98</v>
      </c>
      <c r="L64" s="358" t="s">
        <v>98</v>
      </c>
      <c r="M64" s="358" t="s">
        <v>98</v>
      </c>
      <c r="N64" s="358" t="s">
        <v>98</v>
      </c>
      <c r="P64" s="349" t="s">
        <v>457</v>
      </c>
      <c r="Q64" s="349" t="s">
        <v>457</v>
      </c>
      <c r="R64" s="349" t="s">
        <v>457</v>
      </c>
      <c r="S64" s="349" t="s">
        <v>457</v>
      </c>
      <c r="T64" s="356" t="s">
        <v>458</v>
      </c>
      <c r="U64" s="352" t="s">
        <v>458</v>
      </c>
      <c r="V64" s="351" t="s">
        <v>458</v>
      </c>
      <c r="W64" s="352" t="s">
        <v>458</v>
      </c>
      <c r="X64" s="362" t="s">
        <v>459</v>
      </c>
      <c r="Y64" s="351" t="s">
        <v>458</v>
      </c>
      <c r="Z64" s="370" t="s">
        <v>459</v>
      </c>
      <c r="AA64" s="370" t="s">
        <v>459</v>
      </c>
      <c r="AB64" s="370" t="s">
        <v>459</v>
      </c>
      <c r="AD64" s="354" t="s">
        <v>461</v>
      </c>
      <c r="AE64" s="354" t="s">
        <v>461</v>
      </c>
      <c r="AF64" s="354" t="s">
        <v>461</v>
      </c>
      <c r="AG64" s="354" t="s">
        <v>461</v>
      </c>
      <c r="AH64" s="354" t="s">
        <v>461</v>
      </c>
      <c r="AI64" s="354" t="s">
        <v>461</v>
      </c>
      <c r="AJ64" s="354" t="s">
        <v>461</v>
      </c>
      <c r="AK64" s="354" t="s">
        <v>461</v>
      </c>
      <c r="AL64" s="358" t="s">
        <v>98</v>
      </c>
      <c r="AM64" s="358" t="s">
        <v>98</v>
      </c>
      <c r="AN64" s="358" t="s">
        <v>98</v>
      </c>
      <c r="AO64" s="358" t="s">
        <v>98</v>
      </c>
      <c r="AP64" s="358" t="s">
        <v>98</v>
      </c>
      <c r="AQ64" s="387"/>
      <c r="AR64" s="388" t="s">
        <v>458</v>
      </c>
      <c r="AS64" s="388" t="s">
        <v>458</v>
      </c>
      <c r="AT64" s="388" t="s">
        <v>458</v>
      </c>
      <c r="AU64" s="388" t="s">
        <v>458</v>
      </c>
      <c r="AV64" s="388" t="s">
        <v>458</v>
      </c>
      <c r="AW64" s="388" t="s">
        <v>458</v>
      </c>
      <c r="AX64" s="388" t="s">
        <v>458</v>
      </c>
      <c r="AY64" s="388" t="s">
        <v>458</v>
      </c>
      <c r="AZ64" s="374" t="s">
        <v>459</v>
      </c>
      <c r="BA64" s="374" t="s">
        <v>458</v>
      </c>
      <c r="BB64" s="411" t="s">
        <v>471</v>
      </c>
      <c r="BC64" s="374" t="s">
        <v>459</v>
      </c>
      <c r="BD64" s="374" t="s">
        <v>459</v>
      </c>
      <c r="BE64" s="387"/>
      <c r="BF64" s="388" t="s">
        <v>458</v>
      </c>
      <c r="BG64" s="388" t="s">
        <v>458</v>
      </c>
      <c r="BH64" s="388" t="s">
        <v>458</v>
      </c>
      <c r="BI64" s="388" t="s">
        <v>458</v>
      </c>
      <c r="BJ64" s="388" t="s">
        <v>458</v>
      </c>
      <c r="BK64" s="388" t="s">
        <v>458</v>
      </c>
      <c r="BL64" s="388" t="s">
        <v>458</v>
      </c>
      <c r="BM64" s="388" t="s">
        <v>458</v>
      </c>
      <c r="BN64" s="388" t="s">
        <v>458</v>
      </c>
      <c r="BO64" s="388" t="s">
        <v>458</v>
      </c>
      <c r="BP64" s="374" t="s">
        <v>459</v>
      </c>
      <c r="BQ64" s="374" t="s">
        <v>459</v>
      </c>
      <c r="BR64" s="374" t="s">
        <v>459</v>
      </c>
      <c r="BS64" s="28"/>
      <c r="BT64" s="354" t="s">
        <v>461</v>
      </c>
      <c r="BU64" s="354" t="s">
        <v>461</v>
      </c>
      <c r="BV64" s="354" t="s">
        <v>461</v>
      </c>
      <c r="BW64" s="354" t="s">
        <v>461</v>
      </c>
      <c r="BX64" s="354" t="s">
        <v>461</v>
      </c>
      <c r="BY64" s="354" t="s">
        <v>461</v>
      </c>
      <c r="BZ64" s="354" t="s">
        <v>461</v>
      </c>
      <c r="CA64" s="354" t="s">
        <v>461</v>
      </c>
      <c r="CB64" s="358" t="s">
        <v>98</v>
      </c>
      <c r="CC64" s="358" t="s">
        <v>98</v>
      </c>
      <c r="CD64" s="358" t="s">
        <v>98</v>
      </c>
      <c r="CE64" s="358" t="s">
        <v>98</v>
      </c>
      <c r="CF64" s="358" t="s">
        <v>98</v>
      </c>
      <c r="CG64" s="387"/>
      <c r="CH64" s="388" t="s">
        <v>458</v>
      </c>
      <c r="CI64" s="388" t="s">
        <v>458</v>
      </c>
      <c r="CJ64" s="388" t="s">
        <v>458</v>
      </c>
      <c r="CK64" s="388" t="s">
        <v>458</v>
      </c>
      <c r="CL64" s="388" t="s">
        <v>458</v>
      </c>
      <c r="CM64" s="388" t="s">
        <v>458</v>
      </c>
      <c r="CN64" s="388" t="s">
        <v>458</v>
      </c>
      <c r="CO64" s="388" t="s">
        <v>458</v>
      </c>
      <c r="CP64" s="388" t="s">
        <v>459</v>
      </c>
      <c r="CQ64" s="388" t="s">
        <v>458</v>
      </c>
      <c r="CR64" s="374" t="s">
        <v>459</v>
      </c>
      <c r="CS64" s="374" t="s">
        <v>459</v>
      </c>
      <c r="CT64" s="374" t="s">
        <v>459</v>
      </c>
      <c r="CU64" s="387"/>
      <c r="CV64" s="388" t="s">
        <v>458</v>
      </c>
      <c r="CW64" s="388" t="s">
        <v>458</v>
      </c>
      <c r="CX64" s="388" t="s">
        <v>458</v>
      </c>
      <c r="CY64" s="388" t="s">
        <v>458</v>
      </c>
      <c r="CZ64" s="388" t="s">
        <v>458</v>
      </c>
      <c r="DA64" s="388" t="s">
        <v>458</v>
      </c>
      <c r="DB64" s="388" t="s">
        <v>458</v>
      </c>
      <c r="DC64" s="388" t="s">
        <v>458</v>
      </c>
      <c r="DD64" s="398" t="s">
        <v>459</v>
      </c>
      <c r="DE64" s="388" t="s">
        <v>458</v>
      </c>
      <c r="DF64" s="398" t="s">
        <v>459</v>
      </c>
      <c r="DG64" s="398" t="s">
        <v>459</v>
      </c>
      <c r="DH64" s="399" t="s">
        <v>459</v>
      </c>
    </row>
    <row r="65" spans="1:112" ht="89.25">
      <c r="A65" s="708" t="s">
        <v>30</v>
      </c>
      <c r="B65" s="354" t="s">
        <v>461</v>
      </c>
      <c r="C65" s="354" t="s">
        <v>461</v>
      </c>
      <c r="D65" s="354" t="s">
        <v>461</v>
      </c>
      <c r="E65" s="354" t="s">
        <v>461</v>
      </c>
      <c r="F65" s="354" t="s">
        <v>461</v>
      </c>
      <c r="G65" s="354" t="s">
        <v>461</v>
      </c>
      <c r="H65" s="354" t="s">
        <v>461</v>
      </c>
      <c r="I65" s="354" t="s">
        <v>461</v>
      </c>
      <c r="J65" s="358" t="s">
        <v>98</v>
      </c>
      <c r="K65" s="358" t="s">
        <v>98</v>
      </c>
      <c r="L65" s="358" t="s">
        <v>98</v>
      </c>
      <c r="M65" s="358" t="s">
        <v>98</v>
      </c>
      <c r="N65" s="358" t="s">
        <v>98</v>
      </c>
      <c r="P65" s="349" t="s">
        <v>457</v>
      </c>
      <c r="Q65" s="349" t="s">
        <v>457</v>
      </c>
      <c r="R65" s="349" t="s">
        <v>457</v>
      </c>
      <c r="S65" s="349" t="s">
        <v>457</v>
      </c>
      <c r="T65" s="350" t="s">
        <v>500</v>
      </c>
      <c r="U65" s="353" t="s">
        <v>501</v>
      </c>
      <c r="V65" s="350" t="s">
        <v>502</v>
      </c>
      <c r="W65" s="353" t="s">
        <v>503</v>
      </c>
      <c r="X65" s="362" t="s">
        <v>459</v>
      </c>
      <c r="Y65" s="350" t="s">
        <v>504</v>
      </c>
      <c r="Z65" s="370" t="s">
        <v>459</v>
      </c>
      <c r="AA65" s="370" t="s">
        <v>459</v>
      </c>
      <c r="AB65" s="370" t="s">
        <v>459</v>
      </c>
      <c r="AD65" s="354" t="s">
        <v>461</v>
      </c>
      <c r="AE65" s="354" t="s">
        <v>461</v>
      </c>
      <c r="AF65" s="354" t="s">
        <v>461</v>
      </c>
      <c r="AG65" s="354" t="s">
        <v>461</v>
      </c>
      <c r="AH65" s="354" t="s">
        <v>461</v>
      </c>
      <c r="AI65" s="354" t="s">
        <v>461</v>
      </c>
      <c r="AJ65" s="354" t="s">
        <v>461</v>
      </c>
      <c r="AK65" s="354" t="s">
        <v>461</v>
      </c>
      <c r="AL65" s="358" t="s">
        <v>98</v>
      </c>
      <c r="AM65" s="358" t="s">
        <v>98</v>
      </c>
      <c r="AN65" s="358" t="s">
        <v>98</v>
      </c>
      <c r="AO65" s="358" t="s">
        <v>98</v>
      </c>
      <c r="AP65" s="358" t="s">
        <v>98</v>
      </c>
      <c r="AQ65" s="387"/>
      <c r="AR65" s="388" t="s">
        <v>458</v>
      </c>
      <c r="AS65" s="388" t="s">
        <v>458</v>
      </c>
      <c r="AT65" s="388" t="s">
        <v>458</v>
      </c>
      <c r="AU65" s="388" t="s">
        <v>458</v>
      </c>
      <c r="AV65" s="388" t="s">
        <v>458</v>
      </c>
      <c r="AW65" s="388" t="s">
        <v>458</v>
      </c>
      <c r="AX65" s="388" t="s">
        <v>458</v>
      </c>
      <c r="AY65" s="388" t="s">
        <v>458</v>
      </c>
      <c r="AZ65" s="374" t="s">
        <v>459</v>
      </c>
      <c r="BA65" s="374" t="s">
        <v>458</v>
      </c>
      <c r="BB65" s="411" t="s">
        <v>471</v>
      </c>
      <c r="BC65" s="374" t="s">
        <v>459</v>
      </c>
      <c r="BD65" s="374" t="s">
        <v>459</v>
      </c>
      <c r="BE65" s="387"/>
      <c r="BF65" s="388" t="s">
        <v>458</v>
      </c>
      <c r="BG65" s="388" t="s">
        <v>458</v>
      </c>
      <c r="BH65" s="388" t="s">
        <v>458</v>
      </c>
      <c r="BI65" s="388" t="s">
        <v>458</v>
      </c>
      <c r="BJ65" s="388" t="s">
        <v>458</v>
      </c>
      <c r="BK65" s="388" t="s">
        <v>458</v>
      </c>
      <c r="BL65" s="388" t="s">
        <v>458</v>
      </c>
      <c r="BM65" s="388" t="s">
        <v>458</v>
      </c>
      <c r="BN65" s="388" t="s">
        <v>458</v>
      </c>
      <c r="BO65" s="388" t="s">
        <v>458</v>
      </c>
      <c r="BP65" s="374" t="s">
        <v>459</v>
      </c>
      <c r="BQ65" s="374" t="s">
        <v>459</v>
      </c>
      <c r="BR65" s="374" t="s">
        <v>459</v>
      </c>
      <c r="BS65" s="28"/>
      <c r="BT65" s="354" t="s">
        <v>461</v>
      </c>
      <c r="BU65" s="354" t="s">
        <v>461</v>
      </c>
      <c r="BV65" s="354" t="s">
        <v>461</v>
      </c>
      <c r="BW65" s="354" t="s">
        <v>461</v>
      </c>
      <c r="BX65" s="354" t="s">
        <v>461</v>
      </c>
      <c r="BY65" s="354" t="s">
        <v>461</v>
      </c>
      <c r="BZ65" s="354" t="s">
        <v>461</v>
      </c>
      <c r="CA65" s="354" t="s">
        <v>461</v>
      </c>
      <c r="CB65" s="358" t="s">
        <v>98</v>
      </c>
      <c r="CC65" s="358" t="s">
        <v>98</v>
      </c>
      <c r="CD65" s="358" t="s">
        <v>98</v>
      </c>
      <c r="CE65" s="358" t="s">
        <v>98</v>
      </c>
      <c r="CF65" s="358" t="s">
        <v>98</v>
      </c>
      <c r="CG65" s="387"/>
      <c r="CH65" s="388" t="s">
        <v>458</v>
      </c>
      <c r="CI65" s="388" t="s">
        <v>458</v>
      </c>
      <c r="CJ65" s="388" t="s">
        <v>458</v>
      </c>
      <c r="CK65" s="388" t="s">
        <v>458</v>
      </c>
      <c r="CL65" s="388" t="s">
        <v>458</v>
      </c>
      <c r="CM65" s="388" t="s">
        <v>458</v>
      </c>
      <c r="CN65" s="388" t="s">
        <v>458</v>
      </c>
      <c r="CO65" s="388" t="s">
        <v>458</v>
      </c>
      <c r="CP65" s="388" t="s">
        <v>459</v>
      </c>
      <c r="CQ65" s="388" t="s">
        <v>458</v>
      </c>
      <c r="CR65" s="374" t="s">
        <v>459</v>
      </c>
      <c r="CS65" s="374" t="s">
        <v>459</v>
      </c>
      <c r="CT65" s="374" t="s">
        <v>459</v>
      </c>
      <c r="CU65" s="387"/>
      <c r="CV65" s="388" t="s">
        <v>458</v>
      </c>
      <c r="CW65" s="388" t="s">
        <v>458</v>
      </c>
      <c r="CX65" s="388" t="s">
        <v>458</v>
      </c>
      <c r="CY65" s="388" t="s">
        <v>458</v>
      </c>
      <c r="CZ65" s="388" t="s">
        <v>458</v>
      </c>
      <c r="DA65" s="388" t="s">
        <v>458</v>
      </c>
      <c r="DB65" s="388" t="s">
        <v>458</v>
      </c>
      <c r="DC65" s="388" t="s">
        <v>458</v>
      </c>
      <c r="DD65" s="398" t="s">
        <v>459</v>
      </c>
      <c r="DE65" s="388" t="s">
        <v>458</v>
      </c>
      <c r="DF65" s="398" t="s">
        <v>459</v>
      </c>
      <c r="DG65" s="398" t="s">
        <v>459</v>
      </c>
      <c r="DH65" s="399" t="s">
        <v>459</v>
      </c>
    </row>
    <row r="66" spans="1:112" ht="89.25">
      <c r="A66" s="708" t="s">
        <v>31</v>
      </c>
      <c r="B66" s="354" t="s">
        <v>461</v>
      </c>
      <c r="C66" s="354" t="s">
        <v>461</v>
      </c>
      <c r="D66" s="354" t="s">
        <v>461</v>
      </c>
      <c r="E66" s="354" t="s">
        <v>461</v>
      </c>
      <c r="F66" s="354" t="s">
        <v>461</v>
      </c>
      <c r="G66" s="354" t="s">
        <v>461</v>
      </c>
      <c r="H66" s="354" t="s">
        <v>461</v>
      </c>
      <c r="I66" s="354" t="s">
        <v>461</v>
      </c>
      <c r="J66" s="358" t="s">
        <v>98</v>
      </c>
      <c r="K66" s="358" t="s">
        <v>98</v>
      </c>
      <c r="L66" s="358" t="s">
        <v>98</v>
      </c>
      <c r="M66" s="358" t="s">
        <v>98</v>
      </c>
      <c r="N66" s="358" t="s">
        <v>98</v>
      </c>
      <c r="P66" s="584" t="s">
        <v>721</v>
      </c>
      <c r="Q66" s="584" t="s">
        <v>721</v>
      </c>
      <c r="R66" s="584" t="s">
        <v>721</v>
      </c>
      <c r="S66" s="584" t="s">
        <v>721</v>
      </c>
      <c r="T66" s="584" t="s">
        <v>721</v>
      </c>
      <c r="U66" s="584" t="s">
        <v>721</v>
      </c>
      <c r="V66" s="584" t="s">
        <v>721</v>
      </c>
      <c r="W66" s="584" t="s">
        <v>721</v>
      </c>
      <c r="X66" s="584" t="s">
        <v>721</v>
      </c>
      <c r="Y66" s="584" t="s">
        <v>721</v>
      </c>
      <c r="Z66" s="584" t="s">
        <v>721</v>
      </c>
      <c r="AA66" s="584" t="s">
        <v>721</v>
      </c>
      <c r="AB66" s="584" t="s">
        <v>721</v>
      </c>
      <c r="AD66" s="354" t="s">
        <v>461</v>
      </c>
      <c r="AE66" s="354" t="s">
        <v>461</v>
      </c>
      <c r="AF66" s="354" t="s">
        <v>461</v>
      </c>
      <c r="AG66" s="354" t="s">
        <v>461</v>
      </c>
      <c r="AH66" s="354" t="s">
        <v>461</v>
      </c>
      <c r="AI66" s="354" t="s">
        <v>461</v>
      </c>
      <c r="AJ66" s="354" t="s">
        <v>461</v>
      </c>
      <c r="AK66" s="354" t="s">
        <v>461</v>
      </c>
      <c r="AL66" s="358" t="s">
        <v>98</v>
      </c>
      <c r="AM66" s="358" t="s">
        <v>98</v>
      </c>
      <c r="AN66" s="358" t="s">
        <v>98</v>
      </c>
      <c r="AO66" s="358" t="s">
        <v>98</v>
      </c>
      <c r="AP66" s="358" t="s">
        <v>98</v>
      </c>
      <c r="AQ66" s="61"/>
      <c r="AR66" s="388" t="s">
        <v>458</v>
      </c>
      <c r="AS66" s="388" t="s">
        <v>458</v>
      </c>
      <c r="AT66" s="388" t="s">
        <v>458</v>
      </c>
      <c r="AU66" s="388" t="s">
        <v>458</v>
      </c>
      <c r="AV66" s="388" t="s">
        <v>458</v>
      </c>
      <c r="AW66" s="388" t="s">
        <v>458</v>
      </c>
      <c r="AX66" s="388" t="s">
        <v>458</v>
      </c>
      <c r="AY66" s="388" t="s">
        <v>458</v>
      </c>
      <c r="AZ66" s="374" t="s">
        <v>459</v>
      </c>
      <c r="BA66" s="374" t="s">
        <v>458</v>
      </c>
      <c r="BB66" s="411" t="s">
        <v>471</v>
      </c>
      <c r="BC66" s="374" t="s">
        <v>459</v>
      </c>
      <c r="BD66" s="374" t="s">
        <v>459</v>
      </c>
      <c r="BE66" s="61"/>
      <c r="BF66" s="388" t="s">
        <v>458</v>
      </c>
      <c r="BG66" s="388" t="s">
        <v>458</v>
      </c>
      <c r="BH66" s="388" t="s">
        <v>458</v>
      </c>
      <c r="BI66" s="388" t="s">
        <v>458</v>
      </c>
      <c r="BJ66" s="388" t="s">
        <v>458</v>
      </c>
      <c r="BK66" s="388" t="s">
        <v>458</v>
      </c>
      <c r="BL66" s="388" t="s">
        <v>458</v>
      </c>
      <c r="BM66" s="388" t="s">
        <v>458</v>
      </c>
      <c r="BN66" s="388" t="s">
        <v>458</v>
      </c>
      <c r="BO66" s="388" t="s">
        <v>458</v>
      </c>
      <c r="BP66" s="374" t="s">
        <v>459</v>
      </c>
      <c r="BQ66" s="374" t="s">
        <v>459</v>
      </c>
      <c r="BR66" s="374" t="s">
        <v>459</v>
      </c>
      <c r="BS66" s="27"/>
      <c r="BT66" s="354" t="s">
        <v>461</v>
      </c>
      <c r="BU66" s="354" t="s">
        <v>461</v>
      </c>
      <c r="BV66" s="354" t="s">
        <v>461</v>
      </c>
      <c r="BW66" s="354" t="s">
        <v>461</v>
      </c>
      <c r="BX66" s="354" t="s">
        <v>461</v>
      </c>
      <c r="BY66" s="354" t="s">
        <v>461</v>
      </c>
      <c r="BZ66" s="354" t="s">
        <v>461</v>
      </c>
      <c r="CA66" s="354" t="s">
        <v>461</v>
      </c>
      <c r="CB66" s="358" t="s">
        <v>98</v>
      </c>
      <c r="CC66" s="358" t="s">
        <v>98</v>
      </c>
      <c r="CD66" s="358" t="s">
        <v>98</v>
      </c>
      <c r="CE66" s="358" t="s">
        <v>98</v>
      </c>
      <c r="CF66" s="358" t="s">
        <v>98</v>
      </c>
      <c r="CG66" s="61"/>
      <c r="CH66" s="584" t="s">
        <v>721</v>
      </c>
      <c r="CI66" s="584" t="s">
        <v>721</v>
      </c>
      <c r="CJ66" s="584" t="s">
        <v>721</v>
      </c>
      <c r="CK66" s="584" t="s">
        <v>721</v>
      </c>
      <c r="CL66" s="584" t="s">
        <v>721</v>
      </c>
      <c r="CM66" s="584" t="s">
        <v>721</v>
      </c>
      <c r="CN66" s="584" t="s">
        <v>721</v>
      </c>
      <c r="CO66" s="584" t="s">
        <v>721</v>
      </c>
      <c r="CP66" s="584" t="s">
        <v>721</v>
      </c>
      <c r="CQ66" s="584" t="s">
        <v>721</v>
      </c>
      <c r="CR66" s="584" t="s">
        <v>721</v>
      </c>
      <c r="CS66" s="584" t="s">
        <v>721</v>
      </c>
      <c r="CT66" s="584" t="s">
        <v>721</v>
      </c>
      <c r="CU66" s="61"/>
      <c r="CV66" s="388" t="s">
        <v>458</v>
      </c>
      <c r="CW66" s="388" t="s">
        <v>458</v>
      </c>
      <c r="CX66" s="388" t="s">
        <v>458</v>
      </c>
      <c r="CY66" s="388" t="s">
        <v>458</v>
      </c>
      <c r="CZ66" s="388" t="s">
        <v>458</v>
      </c>
      <c r="DA66" s="388" t="s">
        <v>458</v>
      </c>
      <c r="DB66" s="388" t="s">
        <v>458</v>
      </c>
      <c r="DC66" s="388" t="s">
        <v>458</v>
      </c>
      <c r="DD66" s="398" t="s">
        <v>459</v>
      </c>
      <c r="DE66" s="388" t="s">
        <v>458</v>
      </c>
      <c r="DF66" s="398" t="s">
        <v>459</v>
      </c>
      <c r="DG66" s="398" t="s">
        <v>459</v>
      </c>
      <c r="DH66" s="399" t="s">
        <v>459</v>
      </c>
    </row>
    <row r="67" spans="1:112" ht="114.75">
      <c r="A67" s="708" t="s">
        <v>32</v>
      </c>
      <c r="B67" s="354" t="s">
        <v>461</v>
      </c>
      <c r="C67" s="354" t="s">
        <v>461</v>
      </c>
      <c r="D67" s="354" t="s">
        <v>461</v>
      </c>
      <c r="E67" s="354" t="s">
        <v>461</v>
      </c>
      <c r="F67" s="354" t="s">
        <v>461</v>
      </c>
      <c r="G67" s="354" t="s">
        <v>461</v>
      </c>
      <c r="H67" s="354" t="s">
        <v>461</v>
      </c>
      <c r="I67" s="354" t="s">
        <v>461</v>
      </c>
      <c r="J67" s="358" t="s">
        <v>98</v>
      </c>
      <c r="K67" s="358" t="s">
        <v>98</v>
      </c>
      <c r="L67" s="358" t="s">
        <v>98</v>
      </c>
      <c r="M67" s="358" t="s">
        <v>98</v>
      </c>
      <c r="N67" s="358" t="s">
        <v>98</v>
      </c>
      <c r="P67" s="349" t="s">
        <v>457</v>
      </c>
      <c r="Q67" s="349" t="s">
        <v>457</v>
      </c>
      <c r="R67" s="349" t="s">
        <v>457</v>
      </c>
      <c r="S67" s="349" t="s">
        <v>457</v>
      </c>
      <c r="T67" s="351" t="s">
        <v>458</v>
      </c>
      <c r="U67" s="352" t="s">
        <v>458</v>
      </c>
      <c r="V67" s="351" t="s">
        <v>458</v>
      </c>
      <c r="W67" s="352" t="s">
        <v>458</v>
      </c>
      <c r="X67" s="366" t="s">
        <v>468</v>
      </c>
      <c r="Y67" s="351" t="s">
        <v>469</v>
      </c>
      <c r="Z67" s="362" t="s">
        <v>468</v>
      </c>
      <c r="AA67" s="362" t="s">
        <v>468</v>
      </c>
      <c r="AB67" s="362" t="s">
        <v>468</v>
      </c>
      <c r="AD67" s="354" t="s">
        <v>461</v>
      </c>
      <c r="AE67" s="354" t="s">
        <v>461</v>
      </c>
      <c r="AF67" s="354" t="s">
        <v>461</v>
      </c>
      <c r="AG67" s="354" t="s">
        <v>461</v>
      </c>
      <c r="AH67" s="354" t="s">
        <v>461</v>
      </c>
      <c r="AI67" s="354" t="s">
        <v>461</v>
      </c>
      <c r="AJ67" s="354" t="s">
        <v>461</v>
      </c>
      <c r="AK67" s="354" t="s">
        <v>461</v>
      </c>
      <c r="AL67" s="358" t="s">
        <v>98</v>
      </c>
      <c r="AM67" s="358" t="s">
        <v>98</v>
      </c>
      <c r="AN67" s="358" t="s">
        <v>98</v>
      </c>
      <c r="AO67" s="358" t="s">
        <v>98</v>
      </c>
      <c r="AP67" s="358" t="s">
        <v>98</v>
      </c>
      <c r="AQ67" s="387"/>
      <c r="AR67" s="388" t="s">
        <v>458</v>
      </c>
      <c r="AS67" s="388" t="s">
        <v>458</v>
      </c>
      <c r="AT67" s="388" t="s">
        <v>458</v>
      </c>
      <c r="AU67" s="388" t="s">
        <v>458</v>
      </c>
      <c r="AV67" s="388" t="s">
        <v>458</v>
      </c>
      <c r="AW67" s="388" t="s">
        <v>458</v>
      </c>
      <c r="AX67" s="388" t="s">
        <v>458</v>
      </c>
      <c r="AY67" s="388" t="s">
        <v>458</v>
      </c>
      <c r="AZ67" s="374" t="s">
        <v>459</v>
      </c>
      <c r="BA67" s="374" t="s">
        <v>458</v>
      </c>
      <c r="BB67" s="411" t="s">
        <v>471</v>
      </c>
      <c r="BC67" s="374" t="s">
        <v>459</v>
      </c>
      <c r="BD67" s="374" t="s">
        <v>459</v>
      </c>
      <c r="BE67" s="387"/>
      <c r="BF67" s="388" t="s">
        <v>458</v>
      </c>
      <c r="BG67" s="388" t="s">
        <v>458</v>
      </c>
      <c r="BH67" s="388" t="s">
        <v>458</v>
      </c>
      <c r="BI67" s="388" t="s">
        <v>458</v>
      </c>
      <c r="BJ67" s="388" t="s">
        <v>458</v>
      </c>
      <c r="BK67" s="388" t="s">
        <v>458</v>
      </c>
      <c r="BL67" s="388" t="s">
        <v>458</v>
      </c>
      <c r="BM67" s="388" t="s">
        <v>458</v>
      </c>
      <c r="BN67" s="388" t="s">
        <v>458</v>
      </c>
      <c r="BO67" s="388" t="s">
        <v>539</v>
      </c>
      <c r="BP67" s="374" t="s">
        <v>468</v>
      </c>
      <c r="BQ67" s="374" t="s">
        <v>468</v>
      </c>
      <c r="BR67" s="374" t="s">
        <v>468</v>
      </c>
      <c r="BS67" s="28"/>
      <c r="BT67" s="354" t="s">
        <v>461</v>
      </c>
      <c r="BU67" s="354" t="s">
        <v>461</v>
      </c>
      <c r="BV67" s="354" t="s">
        <v>461</v>
      </c>
      <c r="BW67" s="354" t="s">
        <v>461</v>
      </c>
      <c r="BX67" s="354" t="s">
        <v>461</v>
      </c>
      <c r="BY67" s="354" t="s">
        <v>461</v>
      </c>
      <c r="BZ67" s="354" t="s">
        <v>461</v>
      </c>
      <c r="CA67" s="354" t="s">
        <v>461</v>
      </c>
      <c r="CB67" s="358" t="s">
        <v>98</v>
      </c>
      <c r="CC67" s="358" t="s">
        <v>98</v>
      </c>
      <c r="CD67" s="358" t="s">
        <v>98</v>
      </c>
      <c r="CE67" s="358" t="s">
        <v>98</v>
      </c>
      <c r="CF67" s="358" t="s">
        <v>98</v>
      </c>
      <c r="CG67" s="387"/>
      <c r="CH67" s="388" t="s">
        <v>458</v>
      </c>
      <c r="CI67" s="388" t="s">
        <v>458</v>
      </c>
      <c r="CJ67" s="388" t="s">
        <v>458</v>
      </c>
      <c r="CK67" s="388" t="s">
        <v>458</v>
      </c>
      <c r="CL67" s="388" t="s">
        <v>458</v>
      </c>
      <c r="CM67" s="388" t="s">
        <v>458</v>
      </c>
      <c r="CN67" s="388" t="s">
        <v>458</v>
      </c>
      <c r="CO67" s="388" t="s">
        <v>458</v>
      </c>
      <c r="CP67" s="388" t="s">
        <v>538</v>
      </c>
      <c r="CQ67" s="388" t="s">
        <v>539</v>
      </c>
      <c r="CR67" s="374" t="s">
        <v>468</v>
      </c>
      <c r="CS67" s="374" t="s">
        <v>468</v>
      </c>
      <c r="CT67" s="374" t="s">
        <v>468</v>
      </c>
      <c r="CU67" s="387"/>
      <c r="CV67" s="388" t="s">
        <v>458</v>
      </c>
      <c r="CW67" s="388" t="s">
        <v>458</v>
      </c>
      <c r="CX67" s="388" t="s">
        <v>458</v>
      </c>
      <c r="CY67" s="388" t="s">
        <v>458</v>
      </c>
      <c r="CZ67" s="388" t="s">
        <v>458</v>
      </c>
      <c r="DA67" s="388" t="s">
        <v>458</v>
      </c>
      <c r="DB67" s="388" t="s">
        <v>458</v>
      </c>
      <c r="DC67" s="388" t="s">
        <v>458</v>
      </c>
      <c r="DD67" s="388" t="s">
        <v>538</v>
      </c>
      <c r="DE67" s="388" t="s">
        <v>539</v>
      </c>
      <c r="DF67" s="388" t="s">
        <v>538</v>
      </c>
      <c r="DG67" s="388" t="s">
        <v>538</v>
      </c>
      <c r="DH67" s="388" t="s">
        <v>538</v>
      </c>
    </row>
    <row r="68" spans="1:112" ht="89.25">
      <c r="A68" s="708" t="s">
        <v>33</v>
      </c>
      <c r="B68" s="354" t="s">
        <v>461</v>
      </c>
      <c r="C68" s="354" t="s">
        <v>461</v>
      </c>
      <c r="D68" s="354" t="s">
        <v>461</v>
      </c>
      <c r="E68" s="354" t="s">
        <v>461</v>
      </c>
      <c r="F68" s="354" t="s">
        <v>461</v>
      </c>
      <c r="G68" s="354" t="s">
        <v>461</v>
      </c>
      <c r="H68" s="354" t="s">
        <v>461</v>
      </c>
      <c r="I68" s="354" t="s">
        <v>461</v>
      </c>
      <c r="J68" s="358" t="s">
        <v>98</v>
      </c>
      <c r="K68" s="358" t="s">
        <v>98</v>
      </c>
      <c r="L68" s="358" t="s">
        <v>98</v>
      </c>
      <c r="M68" s="358" t="s">
        <v>98</v>
      </c>
      <c r="N68" s="358" t="s">
        <v>98</v>
      </c>
      <c r="P68" s="349" t="s">
        <v>457</v>
      </c>
      <c r="Q68" s="349" t="s">
        <v>457</v>
      </c>
      <c r="R68" s="349" t="s">
        <v>457</v>
      </c>
      <c r="S68" s="349" t="s">
        <v>457</v>
      </c>
      <c r="T68" s="351" t="s">
        <v>458</v>
      </c>
      <c r="U68" s="352" t="s">
        <v>458</v>
      </c>
      <c r="V68" s="351" t="s">
        <v>458</v>
      </c>
      <c r="W68" s="352" t="s">
        <v>458</v>
      </c>
      <c r="X68" s="363" t="s">
        <v>459</v>
      </c>
      <c r="Y68" s="351" t="s">
        <v>458</v>
      </c>
      <c r="Z68" s="370" t="s">
        <v>459</v>
      </c>
      <c r="AA68" s="370" t="s">
        <v>459</v>
      </c>
      <c r="AB68" s="370" t="s">
        <v>459</v>
      </c>
      <c r="AD68" s="354" t="s">
        <v>461</v>
      </c>
      <c r="AE68" s="354" t="s">
        <v>461</v>
      </c>
      <c r="AF68" s="354" t="s">
        <v>461</v>
      </c>
      <c r="AG68" s="354" t="s">
        <v>461</v>
      </c>
      <c r="AH68" s="354" t="s">
        <v>461</v>
      </c>
      <c r="AI68" s="354" t="s">
        <v>461</v>
      </c>
      <c r="AJ68" s="354" t="s">
        <v>461</v>
      </c>
      <c r="AK68" s="354" t="s">
        <v>461</v>
      </c>
      <c r="AL68" s="358" t="s">
        <v>98</v>
      </c>
      <c r="AM68" s="358" t="s">
        <v>98</v>
      </c>
      <c r="AN68" s="358" t="s">
        <v>98</v>
      </c>
      <c r="AO68" s="358" t="s">
        <v>98</v>
      </c>
      <c r="AP68" s="358" t="s">
        <v>98</v>
      </c>
      <c r="AQ68" s="61"/>
      <c r="AR68" s="388" t="s">
        <v>458</v>
      </c>
      <c r="AS68" s="388" t="s">
        <v>458</v>
      </c>
      <c r="AT68" s="388" t="s">
        <v>458</v>
      </c>
      <c r="AU68" s="388" t="s">
        <v>458</v>
      </c>
      <c r="AV68" s="388" t="s">
        <v>458</v>
      </c>
      <c r="AW68" s="388" t="s">
        <v>458</v>
      </c>
      <c r="AX68" s="388" t="s">
        <v>458</v>
      </c>
      <c r="AY68" s="388" t="s">
        <v>458</v>
      </c>
      <c r="AZ68" s="374" t="s">
        <v>459</v>
      </c>
      <c r="BA68" s="374" t="s">
        <v>458</v>
      </c>
      <c r="BB68" s="411" t="s">
        <v>471</v>
      </c>
      <c r="BC68" s="374" t="s">
        <v>459</v>
      </c>
      <c r="BD68" s="374" t="s">
        <v>459</v>
      </c>
      <c r="BE68" s="61"/>
      <c r="BF68" s="388" t="s">
        <v>458</v>
      </c>
      <c r="BG68" s="388" t="s">
        <v>458</v>
      </c>
      <c r="BH68" s="388" t="s">
        <v>458</v>
      </c>
      <c r="BI68" s="388" t="s">
        <v>458</v>
      </c>
      <c r="BJ68" s="388" t="s">
        <v>458</v>
      </c>
      <c r="BK68" s="388" t="s">
        <v>458</v>
      </c>
      <c r="BL68" s="388" t="s">
        <v>458</v>
      </c>
      <c r="BM68" s="388" t="s">
        <v>458</v>
      </c>
      <c r="BN68" s="388" t="s">
        <v>458</v>
      </c>
      <c r="BO68" s="388" t="s">
        <v>458</v>
      </c>
      <c r="BP68" s="374" t="s">
        <v>459</v>
      </c>
      <c r="BQ68" s="374" t="s">
        <v>459</v>
      </c>
      <c r="BR68" s="374" t="s">
        <v>459</v>
      </c>
      <c r="BS68" s="27"/>
      <c r="BT68" s="354" t="s">
        <v>461</v>
      </c>
      <c r="BU68" s="354" t="s">
        <v>461</v>
      </c>
      <c r="BV68" s="354" t="s">
        <v>461</v>
      </c>
      <c r="BW68" s="354" t="s">
        <v>461</v>
      </c>
      <c r="BX68" s="354" t="s">
        <v>461</v>
      </c>
      <c r="BY68" s="354" t="s">
        <v>461</v>
      </c>
      <c r="BZ68" s="354" t="s">
        <v>461</v>
      </c>
      <c r="CA68" s="354" t="s">
        <v>461</v>
      </c>
      <c r="CB68" s="358" t="s">
        <v>98</v>
      </c>
      <c r="CC68" s="358" t="s">
        <v>98</v>
      </c>
      <c r="CD68" s="358" t="s">
        <v>98</v>
      </c>
      <c r="CE68" s="358" t="s">
        <v>98</v>
      </c>
      <c r="CF68" s="358" t="s">
        <v>98</v>
      </c>
      <c r="CG68" s="61"/>
      <c r="CH68" s="388" t="s">
        <v>458</v>
      </c>
      <c r="CI68" s="388" t="s">
        <v>458</v>
      </c>
      <c r="CJ68" s="388" t="s">
        <v>458</v>
      </c>
      <c r="CK68" s="388" t="s">
        <v>458</v>
      </c>
      <c r="CL68" s="388" t="s">
        <v>458</v>
      </c>
      <c r="CM68" s="388" t="s">
        <v>458</v>
      </c>
      <c r="CN68" s="388" t="s">
        <v>458</v>
      </c>
      <c r="CO68" s="388" t="s">
        <v>458</v>
      </c>
      <c r="CP68" s="388" t="s">
        <v>459</v>
      </c>
      <c r="CQ68" s="388" t="s">
        <v>458</v>
      </c>
      <c r="CR68" s="374" t="s">
        <v>459</v>
      </c>
      <c r="CS68" s="374" t="s">
        <v>459</v>
      </c>
      <c r="CT68" s="374" t="s">
        <v>459</v>
      </c>
      <c r="CU68" s="61"/>
      <c r="CV68" s="388" t="s">
        <v>458</v>
      </c>
      <c r="CW68" s="388" t="s">
        <v>458</v>
      </c>
      <c r="CX68" s="388" t="s">
        <v>458</v>
      </c>
      <c r="CY68" s="388" t="s">
        <v>458</v>
      </c>
      <c r="CZ68" s="388" t="s">
        <v>458</v>
      </c>
      <c r="DA68" s="388" t="s">
        <v>458</v>
      </c>
      <c r="DB68" s="388" t="s">
        <v>458</v>
      </c>
      <c r="DC68" s="388" t="s">
        <v>458</v>
      </c>
      <c r="DD68" s="398" t="s">
        <v>459</v>
      </c>
      <c r="DE68" s="388" t="s">
        <v>458</v>
      </c>
      <c r="DF68" s="398" t="s">
        <v>459</v>
      </c>
      <c r="DG68" s="398" t="s">
        <v>459</v>
      </c>
      <c r="DH68" s="399" t="s">
        <v>459</v>
      </c>
    </row>
    <row r="69" spans="1:112" s="225" customFormat="1" ht="89.25">
      <c r="A69" s="711" t="s">
        <v>34</v>
      </c>
      <c r="B69" s="354" t="s">
        <v>461</v>
      </c>
      <c r="C69" s="354" t="s">
        <v>461</v>
      </c>
      <c r="D69" s="354" t="s">
        <v>461</v>
      </c>
      <c r="E69" s="354" t="s">
        <v>461</v>
      </c>
      <c r="F69" s="354" t="s">
        <v>461</v>
      </c>
      <c r="G69" s="354" t="s">
        <v>461</v>
      </c>
      <c r="H69" s="354" t="s">
        <v>461</v>
      </c>
      <c r="I69" s="354" t="s">
        <v>461</v>
      </c>
      <c r="J69" s="358" t="s">
        <v>98</v>
      </c>
      <c r="K69" s="358" t="s">
        <v>98</v>
      </c>
      <c r="L69" s="358" t="s">
        <v>98</v>
      </c>
      <c r="M69" s="358" t="s">
        <v>98</v>
      </c>
      <c r="N69" s="358" t="s">
        <v>98</v>
      </c>
      <c r="P69" s="354" t="s">
        <v>461</v>
      </c>
      <c r="Q69" s="354" t="s">
        <v>461</v>
      </c>
      <c r="R69" s="354" t="s">
        <v>461</v>
      </c>
      <c r="S69" s="354" t="s">
        <v>461</v>
      </c>
      <c r="T69" s="351" t="s">
        <v>458</v>
      </c>
      <c r="U69" s="352" t="s">
        <v>458</v>
      </c>
      <c r="V69" s="351" t="s">
        <v>458</v>
      </c>
      <c r="W69" s="352" t="s">
        <v>458</v>
      </c>
      <c r="X69" s="362" t="s">
        <v>459</v>
      </c>
      <c r="Y69" s="351" t="s">
        <v>458</v>
      </c>
      <c r="Z69" s="370" t="s">
        <v>459</v>
      </c>
      <c r="AA69" s="370" t="s">
        <v>459</v>
      </c>
      <c r="AB69" s="370" t="s">
        <v>459</v>
      </c>
      <c r="AD69" s="354" t="s">
        <v>461</v>
      </c>
      <c r="AE69" s="354" t="s">
        <v>461</v>
      </c>
      <c r="AF69" s="354" t="s">
        <v>461</v>
      </c>
      <c r="AG69" s="354" t="s">
        <v>461</v>
      </c>
      <c r="AH69" s="354" t="s">
        <v>461</v>
      </c>
      <c r="AI69" s="354" t="s">
        <v>461</v>
      </c>
      <c r="AJ69" s="354" t="s">
        <v>461</v>
      </c>
      <c r="AK69" s="354" t="s">
        <v>461</v>
      </c>
      <c r="AL69" s="410" t="s">
        <v>125</v>
      </c>
      <c r="AM69" s="410" t="s">
        <v>125</v>
      </c>
      <c r="AN69" s="410" t="s">
        <v>125</v>
      </c>
      <c r="AO69" s="410" t="s">
        <v>125</v>
      </c>
      <c r="AP69" s="410" t="s">
        <v>125</v>
      </c>
      <c r="AQ69" s="413"/>
      <c r="AR69" s="388" t="s">
        <v>458</v>
      </c>
      <c r="AS69" s="388" t="s">
        <v>458</v>
      </c>
      <c r="AT69" s="388" t="s">
        <v>458</v>
      </c>
      <c r="AU69" s="388" t="s">
        <v>458</v>
      </c>
      <c r="AV69" s="388" t="s">
        <v>458</v>
      </c>
      <c r="AW69" s="388" t="s">
        <v>458</v>
      </c>
      <c r="AX69" s="388" t="s">
        <v>458</v>
      </c>
      <c r="AY69" s="388" t="s">
        <v>458</v>
      </c>
      <c r="AZ69" s="374" t="s">
        <v>459</v>
      </c>
      <c r="BA69" s="374" t="s">
        <v>458</v>
      </c>
      <c r="BB69" s="411" t="s">
        <v>471</v>
      </c>
      <c r="BC69" s="374" t="s">
        <v>459</v>
      </c>
      <c r="BD69" s="374" t="s">
        <v>459</v>
      </c>
      <c r="BE69" s="413"/>
      <c r="BF69" s="388" t="s">
        <v>458</v>
      </c>
      <c r="BG69" s="388" t="s">
        <v>458</v>
      </c>
      <c r="BH69" s="388" t="s">
        <v>458</v>
      </c>
      <c r="BI69" s="388" t="s">
        <v>458</v>
      </c>
      <c r="BJ69" s="388" t="s">
        <v>458</v>
      </c>
      <c r="BK69" s="388" t="s">
        <v>458</v>
      </c>
      <c r="BL69" s="388" t="s">
        <v>458</v>
      </c>
      <c r="BM69" s="388" t="s">
        <v>458</v>
      </c>
      <c r="BN69" s="412" t="s">
        <v>125</v>
      </c>
      <c r="BO69" s="388" t="s">
        <v>458</v>
      </c>
      <c r="BP69" s="374" t="s">
        <v>459</v>
      </c>
      <c r="BQ69" s="374" t="s">
        <v>459</v>
      </c>
      <c r="BR69" s="374" t="s">
        <v>459</v>
      </c>
      <c r="BS69" s="415"/>
      <c r="BT69" s="354" t="s">
        <v>461</v>
      </c>
      <c r="BU69" s="354" t="s">
        <v>461</v>
      </c>
      <c r="BV69" s="354" t="s">
        <v>461</v>
      </c>
      <c r="BW69" s="354" t="s">
        <v>461</v>
      </c>
      <c r="BX69" s="354" t="s">
        <v>461</v>
      </c>
      <c r="BY69" s="354" t="s">
        <v>461</v>
      </c>
      <c r="BZ69" s="354" t="s">
        <v>461</v>
      </c>
      <c r="CA69" s="354" t="s">
        <v>461</v>
      </c>
      <c r="CB69" s="412" t="s">
        <v>125</v>
      </c>
      <c r="CC69" s="412" t="s">
        <v>125</v>
      </c>
      <c r="CD69" s="412" t="s">
        <v>125</v>
      </c>
      <c r="CE69" s="412" t="s">
        <v>125</v>
      </c>
      <c r="CF69" s="412" t="s">
        <v>125</v>
      </c>
      <c r="CG69" s="413"/>
      <c r="CH69" s="388" t="s">
        <v>458</v>
      </c>
      <c r="CI69" s="388" t="s">
        <v>458</v>
      </c>
      <c r="CJ69" s="388" t="s">
        <v>458</v>
      </c>
      <c r="CK69" s="388" t="s">
        <v>458</v>
      </c>
      <c r="CL69" s="388" t="s">
        <v>458</v>
      </c>
      <c r="CM69" s="388" t="s">
        <v>458</v>
      </c>
      <c r="CN69" s="388" t="s">
        <v>458</v>
      </c>
      <c r="CO69" s="388" t="s">
        <v>458</v>
      </c>
      <c r="CP69" s="388" t="s">
        <v>459</v>
      </c>
      <c r="CQ69" s="388" t="s">
        <v>458</v>
      </c>
      <c r="CR69" s="374" t="s">
        <v>459</v>
      </c>
      <c r="CS69" s="374" t="s">
        <v>459</v>
      </c>
      <c r="CT69" s="374" t="s">
        <v>459</v>
      </c>
      <c r="CU69" s="413"/>
      <c r="CV69" s="388" t="s">
        <v>458</v>
      </c>
      <c r="CW69" s="388" t="s">
        <v>458</v>
      </c>
      <c r="CX69" s="388" t="s">
        <v>458</v>
      </c>
      <c r="CY69" s="388" t="s">
        <v>458</v>
      </c>
      <c r="CZ69" s="388" t="s">
        <v>458</v>
      </c>
      <c r="DA69" s="388" t="s">
        <v>458</v>
      </c>
      <c r="DB69" s="388" t="s">
        <v>458</v>
      </c>
      <c r="DC69" s="388" t="s">
        <v>458</v>
      </c>
      <c r="DD69" s="398" t="s">
        <v>459</v>
      </c>
      <c r="DE69" s="388" t="s">
        <v>458</v>
      </c>
      <c r="DF69" s="398" t="s">
        <v>459</v>
      </c>
      <c r="DG69" s="398" t="s">
        <v>459</v>
      </c>
      <c r="DH69" s="399" t="s">
        <v>459</v>
      </c>
    </row>
    <row r="70" spans="1:112" s="225" customFormat="1" ht="114.75">
      <c r="A70" s="711" t="s">
        <v>60</v>
      </c>
      <c r="B70" s="354" t="s">
        <v>461</v>
      </c>
      <c r="C70" s="354" t="s">
        <v>461</v>
      </c>
      <c r="D70" s="354" t="s">
        <v>461</v>
      </c>
      <c r="E70" s="354" t="s">
        <v>461</v>
      </c>
      <c r="F70" s="354" t="s">
        <v>461</v>
      </c>
      <c r="G70" s="354" t="s">
        <v>461</v>
      </c>
      <c r="H70" s="354" t="s">
        <v>461</v>
      </c>
      <c r="I70" s="354" t="s">
        <v>461</v>
      </c>
      <c r="J70" s="358" t="s">
        <v>98</v>
      </c>
      <c r="K70" s="358" t="s">
        <v>98</v>
      </c>
      <c r="L70" s="358" t="s">
        <v>98</v>
      </c>
      <c r="M70" s="358" t="s">
        <v>98</v>
      </c>
      <c r="N70" s="358" t="s">
        <v>98</v>
      </c>
      <c r="P70" s="354" t="s">
        <v>461</v>
      </c>
      <c r="Q70" s="354" t="s">
        <v>461</v>
      </c>
      <c r="R70" s="354" t="s">
        <v>461</v>
      </c>
      <c r="S70" s="354" t="s">
        <v>461</v>
      </c>
      <c r="T70" s="351" t="s">
        <v>458</v>
      </c>
      <c r="U70" s="352" t="s">
        <v>458</v>
      </c>
      <c r="V70" s="351" t="s">
        <v>458</v>
      </c>
      <c r="W70" s="352" t="s">
        <v>458</v>
      </c>
      <c r="X70" s="362" t="s">
        <v>459</v>
      </c>
      <c r="Y70" s="351" t="s">
        <v>458</v>
      </c>
      <c r="Z70" s="370" t="s">
        <v>459</v>
      </c>
      <c r="AA70" s="370" t="s">
        <v>459</v>
      </c>
      <c r="AB70" s="370" t="s">
        <v>459</v>
      </c>
      <c r="AD70" s="354" t="s">
        <v>461</v>
      </c>
      <c r="AE70" s="354" t="s">
        <v>461</v>
      </c>
      <c r="AF70" s="354" t="s">
        <v>461</v>
      </c>
      <c r="AG70" s="354" t="s">
        <v>461</v>
      </c>
      <c r="AH70" s="354" t="s">
        <v>461</v>
      </c>
      <c r="AI70" s="354" t="s">
        <v>461</v>
      </c>
      <c r="AJ70" s="354" t="s">
        <v>461</v>
      </c>
      <c r="AK70" s="354" t="s">
        <v>461</v>
      </c>
      <c r="AL70" s="410" t="s">
        <v>125</v>
      </c>
      <c r="AM70" s="410" t="s">
        <v>125</v>
      </c>
      <c r="AN70" s="410" t="s">
        <v>125</v>
      </c>
      <c r="AO70" s="410" t="s">
        <v>125</v>
      </c>
      <c r="AP70" s="410" t="s">
        <v>125</v>
      </c>
      <c r="AQ70" s="413"/>
      <c r="AR70" s="388" t="s">
        <v>458</v>
      </c>
      <c r="AS70" s="388" t="s">
        <v>458</v>
      </c>
      <c r="AT70" s="388" t="s">
        <v>458</v>
      </c>
      <c r="AU70" s="388" t="s">
        <v>458</v>
      </c>
      <c r="AV70" s="388" t="s">
        <v>458</v>
      </c>
      <c r="AW70" s="388" t="s">
        <v>458</v>
      </c>
      <c r="AX70" s="388" t="s">
        <v>458</v>
      </c>
      <c r="AY70" s="388" t="s">
        <v>458</v>
      </c>
      <c r="AZ70" s="374" t="s">
        <v>459</v>
      </c>
      <c r="BA70" s="374" t="s">
        <v>458</v>
      </c>
      <c r="BB70" s="411" t="s">
        <v>471</v>
      </c>
      <c r="BC70" s="374" t="s">
        <v>459</v>
      </c>
      <c r="BD70" s="374" t="s">
        <v>459</v>
      </c>
      <c r="BE70" s="413"/>
      <c r="BF70" s="388" t="s">
        <v>458</v>
      </c>
      <c r="BG70" s="388" t="s">
        <v>458</v>
      </c>
      <c r="BH70" s="388" t="s">
        <v>458</v>
      </c>
      <c r="BI70" s="388" t="s">
        <v>458</v>
      </c>
      <c r="BJ70" s="388" t="s">
        <v>458</v>
      </c>
      <c r="BK70" s="388" t="s">
        <v>458</v>
      </c>
      <c r="BL70" s="388" t="s">
        <v>458</v>
      </c>
      <c r="BM70" s="388" t="s">
        <v>458</v>
      </c>
      <c r="BN70" s="412" t="s">
        <v>125</v>
      </c>
      <c r="BO70" s="388" t="s">
        <v>539</v>
      </c>
      <c r="BP70" s="374" t="s">
        <v>468</v>
      </c>
      <c r="BQ70" s="374" t="s">
        <v>468</v>
      </c>
      <c r="BR70" s="374" t="s">
        <v>468</v>
      </c>
      <c r="BS70" s="415"/>
      <c r="BT70" s="354" t="s">
        <v>461</v>
      </c>
      <c r="BU70" s="354" t="s">
        <v>461</v>
      </c>
      <c r="BV70" s="354" t="s">
        <v>461</v>
      </c>
      <c r="BW70" s="354" t="s">
        <v>461</v>
      </c>
      <c r="BX70" s="354" t="s">
        <v>461</v>
      </c>
      <c r="BY70" s="354" t="s">
        <v>461</v>
      </c>
      <c r="BZ70" s="354" t="s">
        <v>461</v>
      </c>
      <c r="CA70" s="354" t="s">
        <v>461</v>
      </c>
      <c r="CB70" s="412" t="s">
        <v>125</v>
      </c>
      <c r="CC70" s="412" t="s">
        <v>125</v>
      </c>
      <c r="CD70" s="412" t="s">
        <v>125</v>
      </c>
      <c r="CE70" s="412" t="s">
        <v>125</v>
      </c>
      <c r="CF70" s="412" t="s">
        <v>125</v>
      </c>
      <c r="CG70" s="413"/>
      <c r="CH70" s="388" t="s">
        <v>458</v>
      </c>
      <c r="CI70" s="388" t="s">
        <v>458</v>
      </c>
      <c r="CJ70" s="388" t="s">
        <v>458</v>
      </c>
      <c r="CK70" s="388" t="s">
        <v>458</v>
      </c>
      <c r="CL70" s="388" t="s">
        <v>458</v>
      </c>
      <c r="CM70" s="388" t="s">
        <v>458</v>
      </c>
      <c r="CN70" s="388" t="s">
        <v>458</v>
      </c>
      <c r="CO70" s="388" t="s">
        <v>458</v>
      </c>
      <c r="CP70" s="388" t="s">
        <v>538</v>
      </c>
      <c r="CQ70" s="388" t="s">
        <v>539</v>
      </c>
      <c r="CR70" s="374" t="s">
        <v>468</v>
      </c>
      <c r="CS70" s="374" t="s">
        <v>468</v>
      </c>
      <c r="CT70" s="374" t="s">
        <v>468</v>
      </c>
      <c r="CU70" s="413"/>
      <c r="CV70" s="388" t="s">
        <v>458</v>
      </c>
      <c r="CW70" s="388" t="s">
        <v>458</v>
      </c>
      <c r="CX70" s="388" t="s">
        <v>458</v>
      </c>
      <c r="CY70" s="388" t="s">
        <v>458</v>
      </c>
      <c r="CZ70" s="388" t="s">
        <v>458</v>
      </c>
      <c r="DA70" s="388" t="s">
        <v>458</v>
      </c>
      <c r="DB70" s="388" t="s">
        <v>458</v>
      </c>
      <c r="DC70" s="388" t="s">
        <v>458</v>
      </c>
      <c r="DD70" s="388" t="s">
        <v>538</v>
      </c>
      <c r="DE70" s="388" t="s">
        <v>539</v>
      </c>
      <c r="DF70" s="388" t="s">
        <v>538</v>
      </c>
      <c r="DG70" s="388" t="s">
        <v>538</v>
      </c>
      <c r="DH70" s="388" t="s">
        <v>538</v>
      </c>
    </row>
    <row r="71" spans="1:112" ht="89.25">
      <c r="A71" s="708" t="s">
        <v>35</v>
      </c>
      <c r="B71" s="354" t="s">
        <v>461</v>
      </c>
      <c r="C71" s="354" t="s">
        <v>461</v>
      </c>
      <c r="D71" s="354" t="s">
        <v>461</v>
      </c>
      <c r="E71" s="354" t="s">
        <v>461</v>
      </c>
      <c r="F71" s="354" t="s">
        <v>461</v>
      </c>
      <c r="G71" s="354" t="s">
        <v>461</v>
      </c>
      <c r="H71" s="354" t="s">
        <v>461</v>
      </c>
      <c r="I71" s="354" t="s">
        <v>461</v>
      </c>
      <c r="J71" s="358" t="s">
        <v>98</v>
      </c>
      <c r="K71" s="358" t="s">
        <v>98</v>
      </c>
      <c r="L71" s="358" t="s">
        <v>98</v>
      </c>
      <c r="M71" s="358" t="s">
        <v>98</v>
      </c>
      <c r="N71" s="358" t="s">
        <v>98</v>
      </c>
      <c r="P71" s="354" t="s">
        <v>461</v>
      </c>
      <c r="Q71" s="354" t="s">
        <v>461</v>
      </c>
      <c r="R71" s="354" t="s">
        <v>461</v>
      </c>
      <c r="S71" s="354" t="s">
        <v>461</v>
      </c>
      <c r="T71" s="351" t="s">
        <v>458</v>
      </c>
      <c r="U71" s="352" t="s">
        <v>458</v>
      </c>
      <c r="V71" s="351" t="s">
        <v>458</v>
      </c>
      <c r="W71" s="351" t="s">
        <v>458</v>
      </c>
      <c r="X71" s="362" t="s">
        <v>459</v>
      </c>
      <c r="Y71" s="351" t="s">
        <v>458</v>
      </c>
      <c r="Z71" s="370" t="s">
        <v>459</v>
      </c>
      <c r="AA71" s="370" t="s">
        <v>459</v>
      </c>
      <c r="AB71" s="370" t="s">
        <v>459</v>
      </c>
      <c r="AD71" s="354" t="s">
        <v>461</v>
      </c>
      <c r="AE71" s="354" t="s">
        <v>461</v>
      </c>
      <c r="AF71" s="354" t="s">
        <v>461</v>
      </c>
      <c r="AG71" s="354" t="s">
        <v>461</v>
      </c>
      <c r="AH71" s="354" t="s">
        <v>461</v>
      </c>
      <c r="AI71" s="354" t="s">
        <v>461</v>
      </c>
      <c r="AJ71" s="354" t="s">
        <v>461</v>
      </c>
      <c r="AK71" s="354" t="s">
        <v>461</v>
      </c>
      <c r="AL71" s="358" t="s">
        <v>98</v>
      </c>
      <c r="AM71" s="358" t="s">
        <v>98</v>
      </c>
      <c r="AN71" s="358" t="s">
        <v>98</v>
      </c>
      <c r="AO71" s="358" t="s">
        <v>98</v>
      </c>
      <c r="AP71" s="358" t="s">
        <v>98</v>
      </c>
      <c r="AQ71" s="61"/>
      <c r="AR71" s="388" t="s">
        <v>458</v>
      </c>
      <c r="AS71" s="388" t="s">
        <v>458</v>
      </c>
      <c r="AT71" s="388" t="s">
        <v>458</v>
      </c>
      <c r="AU71" s="388" t="s">
        <v>458</v>
      </c>
      <c r="AV71" s="388" t="s">
        <v>458</v>
      </c>
      <c r="AW71" s="388" t="s">
        <v>458</v>
      </c>
      <c r="AX71" s="388" t="s">
        <v>458</v>
      </c>
      <c r="AY71" s="388" t="s">
        <v>458</v>
      </c>
      <c r="AZ71" s="374" t="s">
        <v>459</v>
      </c>
      <c r="BA71" s="374" t="s">
        <v>458</v>
      </c>
      <c r="BB71" s="411" t="s">
        <v>471</v>
      </c>
      <c r="BC71" s="374" t="s">
        <v>459</v>
      </c>
      <c r="BD71" s="374" t="s">
        <v>459</v>
      </c>
      <c r="BE71" s="61"/>
      <c r="BF71" s="388" t="s">
        <v>458</v>
      </c>
      <c r="BG71" s="388" t="s">
        <v>458</v>
      </c>
      <c r="BH71" s="388" t="s">
        <v>458</v>
      </c>
      <c r="BI71" s="388" t="s">
        <v>458</v>
      </c>
      <c r="BJ71" s="388" t="s">
        <v>458</v>
      </c>
      <c r="BK71" s="388" t="s">
        <v>458</v>
      </c>
      <c r="BL71" s="388" t="s">
        <v>458</v>
      </c>
      <c r="BM71" s="388" t="s">
        <v>458</v>
      </c>
      <c r="BN71" s="388" t="s">
        <v>458</v>
      </c>
      <c r="BO71" s="388" t="s">
        <v>458</v>
      </c>
      <c r="BP71" s="374" t="s">
        <v>459</v>
      </c>
      <c r="BQ71" s="374" t="s">
        <v>459</v>
      </c>
      <c r="BR71" s="374" t="s">
        <v>459</v>
      </c>
      <c r="BS71" s="27"/>
      <c r="BT71" s="354" t="s">
        <v>461</v>
      </c>
      <c r="BU71" s="354" t="s">
        <v>461</v>
      </c>
      <c r="BV71" s="354" t="s">
        <v>461</v>
      </c>
      <c r="BW71" s="354" t="s">
        <v>461</v>
      </c>
      <c r="BX71" s="354" t="s">
        <v>461</v>
      </c>
      <c r="BY71" s="354" t="s">
        <v>461</v>
      </c>
      <c r="BZ71" s="354" t="s">
        <v>461</v>
      </c>
      <c r="CA71" s="354" t="s">
        <v>461</v>
      </c>
      <c r="CB71" s="358" t="s">
        <v>98</v>
      </c>
      <c r="CC71" s="358" t="s">
        <v>98</v>
      </c>
      <c r="CD71" s="358" t="s">
        <v>98</v>
      </c>
      <c r="CE71" s="358" t="s">
        <v>98</v>
      </c>
      <c r="CF71" s="358" t="s">
        <v>98</v>
      </c>
      <c r="CG71" s="61"/>
      <c r="CH71" s="388" t="s">
        <v>458</v>
      </c>
      <c r="CI71" s="388" t="s">
        <v>458</v>
      </c>
      <c r="CJ71" s="388" t="s">
        <v>458</v>
      </c>
      <c r="CK71" s="388" t="s">
        <v>458</v>
      </c>
      <c r="CL71" s="388" t="s">
        <v>458</v>
      </c>
      <c r="CM71" s="388" t="s">
        <v>458</v>
      </c>
      <c r="CN71" s="388" t="s">
        <v>458</v>
      </c>
      <c r="CO71" s="388" t="s">
        <v>458</v>
      </c>
      <c r="CP71" s="388" t="s">
        <v>459</v>
      </c>
      <c r="CQ71" s="388" t="s">
        <v>458</v>
      </c>
      <c r="CR71" s="374" t="s">
        <v>459</v>
      </c>
      <c r="CS71" s="374" t="s">
        <v>459</v>
      </c>
      <c r="CT71" s="374" t="s">
        <v>459</v>
      </c>
      <c r="CU71" s="61"/>
      <c r="CV71" s="388" t="s">
        <v>458</v>
      </c>
      <c r="CW71" s="388" t="s">
        <v>458</v>
      </c>
      <c r="CX71" s="388" t="s">
        <v>458</v>
      </c>
      <c r="CY71" s="388" t="s">
        <v>458</v>
      </c>
      <c r="CZ71" s="388" t="s">
        <v>458</v>
      </c>
      <c r="DA71" s="388" t="s">
        <v>458</v>
      </c>
      <c r="DB71" s="388" t="s">
        <v>458</v>
      </c>
      <c r="DC71" s="388" t="s">
        <v>458</v>
      </c>
      <c r="DD71" s="398" t="s">
        <v>459</v>
      </c>
      <c r="DE71" s="388" t="s">
        <v>458</v>
      </c>
      <c r="DF71" s="398" t="s">
        <v>459</v>
      </c>
      <c r="DG71" s="398" t="s">
        <v>459</v>
      </c>
      <c r="DH71" s="399" t="s">
        <v>459</v>
      </c>
    </row>
    <row r="72" spans="1:112" ht="89.25">
      <c r="A72" s="708" t="s">
        <v>61</v>
      </c>
      <c r="B72" s="354" t="s">
        <v>461</v>
      </c>
      <c r="C72" s="354" t="s">
        <v>461</v>
      </c>
      <c r="D72" s="354" t="s">
        <v>461</v>
      </c>
      <c r="E72" s="354" t="s">
        <v>461</v>
      </c>
      <c r="F72" s="354" t="s">
        <v>461</v>
      </c>
      <c r="G72" s="354" t="s">
        <v>461</v>
      </c>
      <c r="H72" s="354" t="s">
        <v>461</v>
      </c>
      <c r="I72" s="354" t="s">
        <v>461</v>
      </c>
      <c r="J72" s="358" t="s">
        <v>98</v>
      </c>
      <c r="K72" s="358" t="s">
        <v>98</v>
      </c>
      <c r="L72" s="358" t="s">
        <v>98</v>
      </c>
      <c r="M72" s="358" t="s">
        <v>98</v>
      </c>
      <c r="N72" s="358" t="s">
        <v>98</v>
      </c>
      <c r="P72" s="354" t="s">
        <v>461</v>
      </c>
      <c r="Q72" s="354" t="s">
        <v>461</v>
      </c>
      <c r="R72" s="354" t="s">
        <v>461</v>
      </c>
      <c r="S72" s="354" t="s">
        <v>461</v>
      </c>
      <c r="T72" s="351" t="s">
        <v>458</v>
      </c>
      <c r="U72" s="352" t="s">
        <v>458</v>
      </c>
      <c r="V72" s="351" t="s">
        <v>458</v>
      </c>
      <c r="W72" s="351" t="s">
        <v>458</v>
      </c>
      <c r="X72" s="362" t="s">
        <v>459</v>
      </c>
      <c r="Y72" s="351" t="s">
        <v>458</v>
      </c>
      <c r="Z72" s="370" t="s">
        <v>459</v>
      </c>
      <c r="AA72" s="370" t="s">
        <v>459</v>
      </c>
      <c r="AB72" s="370" t="s">
        <v>459</v>
      </c>
      <c r="AD72" s="354" t="s">
        <v>461</v>
      </c>
      <c r="AE72" s="354" t="s">
        <v>461</v>
      </c>
      <c r="AF72" s="354" t="s">
        <v>461</v>
      </c>
      <c r="AG72" s="354" t="s">
        <v>461</v>
      </c>
      <c r="AH72" s="354" t="s">
        <v>461</v>
      </c>
      <c r="AI72" s="354" t="s">
        <v>461</v>
      </c>
      <c r="AJ72" s="354" t="s">
        <v>461</v>
      </c>
      <c r="AK72" s="354" t="s">
        <v>461</v>
      </c>
      <c r="AL72" s="358" t="s">
        <v>98</v>
      </c>
      <c r="AM72" s="358" t="s">
        <v>98</v>
      </c>
      <c r="AN72" s="358" t="s">
        <v>98</v>
      </c>
      <c r="AO72" s="358" t="s">
        <v>98</v>
      </c>
      <c r="AP72" s="358" t="s">
        <v>98</v>
      </c>
      <c r="AQ72" s="387"/>
      <c r="AR72" s="388" t="s">
        <v>458</v>
      </c>
      <c r="AS72" s="388" t="s">
        <v>458</v>
      </c>
      <c r="AT72" s="388" t="s">
        <v>458</v>
      </c>
      <c r="AU72" s="388" t="s">
        <v>458</v>
      </c>
      <c r="AV72" s="388" t="s">
        <v>458</v>
      </c>
      <c r="AW72" s="388" t="s">
        <v>458</v>
      </c>
      <c r="AX72" s="388" t="s">
        <v>458</v>
      </c>
      <c r="AY72" s="388" t="s">
        <v>458</v>
      </c>
      <c r="AZ72" s="374" t="s">
        <v>459</v>
      </c>
      <c r="BA72" s="374" t="s">
        <v>458</v>
      </c>
      <c r="BB72" s="411" t="s">
        <v>471</v>
      </c>
      <c r="BC72" s="374" t="s">
        <v>459</v>
      </c>
      <c r="BD72" s="374" t="s">
        <v>459</v>
      </c>
      <c r="BE72" s="387"/>
      <c r="BF72" s="388" t="s">
        <v>458</v>
      </c>
      <c r="BG72" s="388" t="s">
        <v>458</v>
      </c>
      <c r="BH72" s="388" t="s">
        <v>458</v>
      </c>
      <c r="BI72" s="388" t="s">
        <v>458</v>
      </c>
      <c r="BJ72" s="388" t="s">
        <v>458</v>
      </c>
      <c r="BK72" s="388" t="s">
        <v>458</v>
      </c>
      <c r="BL72" s="388" t="s">
        <v>458</v>
      </c>
      <c r="BM72" s="388" t="s">
        <v>458</v>
      </c>
      <c r="BN72" s="388" t="s">
        <v>458</v>
      </c>
      <c r="BO72" s="388" t="s">
        <v>458</v>
      </c>
      <c r="BP72" s="374" t="s">
        <v>459</v>
      </c>
      <c r="BQ72" s="374" t="s">
        <v>459</v>
      </c>
      <c r="BR72" s="374" t="s">
        <v>459</v>
      </c>
      <c r="BS72" s="28"/>
      <c r="BT72" s="354" t="s">
        <v>461</v>
      </c>
      <c r="BU72" s="354" t="s">
        <v>461</v>
      </c>
      <c r="BV72" s="354" t="s">
        <v>461</v>
      </c>
      <c r="BW72" s="354" t="s">
        <v>461</v>
      </c>
      <c r="BX72" s="354" t="s">
        <v>461</v>
      </c>
      <c r="BY72" s="354" t="s">
        <v>461</v>
      </c>
      <c r="BZ72" s="354" t="s">
        <v>461</v>
      </c>
      <c r="CA72" s="354" t="s">
        <v>461</v>
      </c>
      <c r="CB72" s="358" t="s">
        <v>98</v>
      </c>
      <c r="CC72" s="358" t="s">
        <v>98</v>
      </c>
      <c r="CD72" s="358" t="s">
        <v>98</v>
      </c>
      <c r="CE72" s="358" t="s">
        <v>98</v>
      </c>
      <c r="CF72" s="358" t="s">
        <v>98</v>
      </c>
      <c r="CG72" s="387"/>
      <c r="CH72" s="388" t="s">
        <v>458</v>
      </c>
      <c r="CI72" s="388" t="s">
        <v>458</v>
      </c>
      <c r="CJ72" s="388" t="s">
        <v>458</v>
      </c>
      <c r="CK72" s="388" t="s">
        <v>458</v>
      </c>
      <c r="CL72" s="388" t="s">
        <v>458</v>
      </c>
      <c r="CM72" s="388" t="s">
        <v>458</v>
      </c>
      <c r="CN72" s="388" t="s">
        <v>458</v>
      </c>
      <c r="CO72" s="388" t="s">
        <v>458</v>
      </c>
      <c r="CP72" s="388" t="s">
        <v>459</v>
      </c>
      <c r="CQ72" s="388" t="s">
        <v>458</v>
      </c>
      <c r="CR72" s="374" t="s">
        <v>459</v>
      </c>
      <c r="CS72" s="374" t="s">
        <v>459</v>
      </c>
      <c r="CT72" s="374" t="s">
        <v>459</v>
      </c>
      <c r="CU72" s="387"/>
      <c r="CV72" s="388" t="s">
        <v>458</v>
      </c>
      <c r="CW72" s="388" t="s">
        <v>458</v>
      </c>
      <c r="CX72" s="388" t="s">
        <v>458</v>
      </c>
      <c r="CY72" s="388" t="s">
        <v>458</v>
      </c>
      <c r="CZ72" s="388" t="s">
        <v>458</v>
      </c>
      <c r="DA72" s="388" t="s">
        <v>458</v>
      </c>
      <c r="DB72" s="388" t="s">
        <v>458</v>
      </c>
      <c r="DC72" s="388" t="s">
        <v>458</v>
      </c>
      <c r="DD72" s="398" t="s">
        <v>459</v>
      </c>
      <c r="DE72" s="388" t="s">
        <v>458</v>
      </c>
      <c r="DF72" s="398" t="s">
        <v>459</v>
      </c>
      <c r="DG72" s="398" t="s">
        <v>459</v>
      </c>
      <c r="DH72" s="399" t="s">
        <v>459</v>
      </c>
    </row>
    <row r="73" spans="1:112" ht="89.25">
      <c r="A73" s="708" t="s">
        <v>36</v>
      </c>
      <c r="B73" s="354" t="s">
        <v>461</v>
      </c>
      <c r="C73" s="354" t="s">
        <v>461</v>
      </c>
      <c r="D73" s="354" t="s">
        <v>461</v>
      </c>
      <c r="E73" s="354" t="s">
        <v>461</v>
      </c>
      <c r="F73" s="354" t="s">
        <v>461</v>
      </c>
      <c r="G73" s="354" t="s">
        <v>461</v>
      </c>
      <c r="H73" s="354" t="s">
        <v>461</v>
      </c>
      <c r="I73" s="354" t="s">
        <v>461</v>
      </c>
      <c r="J73" s="358" t="s">
        <v>98</v>
      </c>
      <c r="K73" s="358" t="s">
        <v>98</v>
      </c>
      <c r="L73" s="358" t="s">
        <v>98</v>
      </c>
      <c r="M73" s="358" t="s">
        <v>98</v>
      </c>
      <c r="N73" s="358" t="s">
        <v>98</v>
      </c>
      <c r="P73" s="349" t="s">
        <v>457</v>
      </c>
      <c r="Q73" s="349" t="s">
        <v>457</v>
      </c>
      <c r="R73" s="349" t="s">
        <v>457</v>
      </c>
      <c r="S73" s="349" t="s">
        <v>457</v>
      </c>
      <c r="T73" s="351" t="s">
        <v>458</v>
      </c>
      <c r="U73" s="352" t="s">
        <v>458</v>
      </c>
      <c r="V73" s="351" t="s">
        <v>458</v>
      </c>
      <c r="W73" s="351" t="s">
        <v>458</v>
      </c>
      <c r="X73" s="362" t="s">
        <v>459</v>
      </c>
      <c r="Y73" s="351" t="s">
        <v>458</v>
      </c>
      <c r="Z73" s="370" t="s">
        <v>459</v>
      </c>
      <c r="AA73" s="370" t="s">
        <v>459</v>
      </c>
      <c r="AB73" s="370" t="s">
        <v>459</v>
      </c>
      <c r="AD73" s="354" t="s">
        <v>461</v>
      </c>
      <c r="AE73" s="354" t="s">
        <v>461</v>
      </c>
      <c r="AF73" s="354" t="s">
        <v>461</v>
      </c>
      <c r="AG73" s="354" t="s">
        <v>461</v>
      </c>
      <c r="AH73" s="354" t="s">
        <v>461</v>
      </c>
      <c r="AI73" s="354" t="s">
        <v>461</v>
      </c>
      <c r="AJ73" s="354" t="s">
        <v>461</v>
      </c>
      <c r="AK73" s="354" t="s">
        <v>461</v>
      </c>
      <c r="AL73" s="358" t="s">
        <v>98</v>
      </c>
      <c r="AM73" s="358" t="s">
        <v>98</v>
      </c>
      <c r="AN73" s="358" t="s">
        <v>98</v>
      </c>
      <c r="AO73" s="358" t="s">
        <v>98</v>
      </c>
      <c r="AP73" s="358" t="s">
        <v>98</v>
      </c>
      <c r="AQ73" s="387"/>
      <c r="AR73" s="388" t="s">
        <v>458</v>
      </c>
      <c r="AS73" s="388" t="s">
        <v>458</v>
      </c>
      <c r="AT73" s="388" t="s">
        <v>458</v>
      </c>
      <c r="AU73" s="388" t="s">
        <v>458</v>
      </c>
      <c r="AV73" s="388" t="s">
        <v>458</v>
      </c>
      <c r="AW73" s="388" t="s">
        <v>458</v>
      </c>
      <c r="AX73" s="388" t="s">
        <v>458</v>
      </c>
      <c r="AY73" s="388" t="s">
        <v>458</v>
      </c>
      <c r="AZ73" s="374" t="s">
        <v>459</v>
      </c>
      <c r="BA73" s="374" t="s">
        <v>458</v>
      </c>
      <c r="BB73" s="411" t="s">
        <v>471</v>
      </c>
      <c r="BC73" s="374" t="s">
        <v>459</v>
      </c>
      <c r="BD73" s="374" t="s">
        <v>459</v>
      </c>
      <c r="BE73" s="387"/>
      <c r="BF73" s="388" t="s">
        <v>458</v>
      </c>
      <c r="BG73" s="388" t="s">
        <v>458</v>
      </c>
      <c r="BH73" s="388" t="s">
        <v>458</v>
      </c>
      <c r="BI73" s="388" t="s">
        <v>458</v>
      </c>
      <c r="BJ73" s="388" t="s">
        <v>458</v>
      </c>
      <c r="BK73" s="388" t="s">
        <v>458</v>
      </c>
      <c r="BL73" s="388" t="s">
        <v>458</v>
      </c>
      <c r="BM73" s="388" t="s">
        <v>458</v>
      </c>
      <c r="BN73" s="388" t="s">
        <v>458</v>
      </c>
      <c r="BO73" s="388" t="s">
        <v>458</v>
      </c>
      <c r="BP73" s="374" t="s">
        <v>459</v>
      </c>
      <c r="BQ73" s="374" t="s">
        <v>459</v>
      </c>
      <c r="BR73" s="374" t="s">
        <v>459</v>
      </c>
      <c r="BS73" s="28"/>
      <c r="BT73" s="354" t="s">
        <v>461</v>
      </c>
      <c r="BU73" s="354" t="s">
        <v>461</v>
      </c>
      <c r="BV73" s="354" t="s">
        <v>461</v>
      </c>
      <c r="BW73" s="354" t="s">
        <v>461</v>
      </c>
      <c r="BX73" s="354" t="s">
        <v>461</v>
      </c>
      <c r="BY73" s="354" t="s">
        <v>461</v>
      </c>
      <c r="BZ73" s="354" t="s">
        <v>461</v>
      </c>
      <c r="CA73" s="354" t="s">
        <v>461</v>
      </c>
      <c r="CB73" s="358" t="s">
        <v>98</v>
      </c>
      <c r="CC73" s="358" t="s">
        <v>98</v>
      </c>
      <c r="CD73" s="358" t="s">
        <v>98</v>
      </c>
      <c r="CE73" s="358" t="s">
        <v>98</v>
      </c>
      <c r="CF73" s="358" t="s">
        <v>98</v>
      </c>
      <c r="CG73" s="387"/>
      <c r="CH73" s="388" t="s">
        <v>458</v>
      </c>
      <c r="CI73" s="388" t="s">
        <v>458</v>
      </c>
      <c r="CJ73" s="388" t="s">
        <v>458</v>
      </c>
      <c r="CK73" s="388" t="s">
        <v>458</v>
      </c>
      <c r="CL73" s="388" t="s">
        <v>458</v>
      </c>
      <c r="CM73" s="388" t="s">
        <v>458</v>
      </c>
      <c r="CN73" s="388" t="s">
        <v>458</v>
      </c>
      <c r="CO73" s="388" t="s">
        <v>458</v>
      </c>
      <c r="CP73" s="388" t="s">
        <v>459</v>
      </c>
      <c r="CQ73" s="388" t="s">
        <v>458</v>
      </c>
      <c r="CR73" s="374" t="s">
        <v>459</v>
      </c>
      <c r="CS73" s="374" t="s">
        <v>459</v>
      </c>
      <c r="CT73" s="374" t="s">
        <v>459</v>
      </c>
      <c r="CU73" s="387"/>
      <c r="CV73" s="388" t="s">
        <v>458</v>
      </c>
      <c r="CW73" s="388" t="s">
        <v>458</v>
      </c>
      <c r="CX73" s="388" t="s">
        <v>458</v>
      </c>
      <c r="CY73" s="388" t="s">
        <v>458</v>
      </c>
      <c r="CZ73" s="388" t="s">
        <v>458</v>
      </c>
      <c r="DA73" s="388" t="s">
        <v>458</v>
      </c>
      <c r="DB73" s="388" t="s">
        <v>458</v>
      </c>
      <c r="DC73" s="388" t="s">
        <v>458</v>
      </c>
      <c r="DD73" s="398" t="s">
        <v>459</v>
      </c>
      <c r="DE73" s="388" t="s">
        <v>458</v>
      </c>
      <c r="DF73" s="398" t="s">
        <v>459</v>
      </c>
      <c r="DG73" s="398" t="s">
        <v>459</v>
      </c>
      <c r="DH73" s="399" t="s">
        <v>459</v>
      </c>
    </row>
    <row r="74" spans="1:112" ht="89.25">
      <c r="A74" s="708" t="s">
        <v>37</v>
      </c>
      <c r="B74" s="354" t="s">
        <v>461</v>
      </c>
      <c r="C74" s="354" t="s">
        <v>461</v>
      </c>
      <c r="D74" s="354" t="s">
        <v>461</v>
      </c>
      <c r="E74" s="354" t="s">
        <v>461</v>
      </c>
      <c r="F74" s="354" t="s">
        <v>461</v>
      </c>
      <c r="G74" s="354" t="s">
        <v>461</v>
      </c>
      <c r="H74" s="354" t="s">
        <v>461</v>
      </c>
      <c r="I74" s="354" t="s">
        <v>461</v>
      </c>
      <c r="J74" s="358" t="s">
        <v>98</v>
      </c>
      <c r="K74" s="358" t="s">
        <v>98</v>
      </c>
      <c r="L74" s="358" t="s">
        <v>98</v>
      </c>
      <c r="M74" s="358" t="s">
        <v>98</v>
      </c>
      <c r="N74" s="358" t="s">
        <v>98</v>
      </c>
      <c r="P74" s="349" t="s">
        <v>457</v>
      </c>
      <c r="Q74" s="349" t="s">
        <v>457</v>
      </c>
      <c r="R74" s="349" t="s">
        <v>457</v>
      </c>
      <c r="S74" s="349" t="s">
        <v>457</v>
      </c>
      <c r="T74" s="351" t="s">
        <v>458</v>
      </c>
      <c r="U74" s="352" t="s">
        <v>458</v>
      </c>
      <c r="V74" s="351" t="s">
        <v>458</v>
      </c>
      <c r="W74" s="352" t="s">
        <v>458</v>
      </c>
      <c r="X74" s="362" t="s">
        <v>459</v>
      </c>
      <c r="Y74" s="351" t="s">
        <v>458</v>
      </c>
      <c r="Z74" s="370" t="s">
        <v>459</v>
      </c>
      <c r="AA74" s="370" t="s">
        <v>459</v>
      </c>
      <c r="AB74" s="370" t="s">
        <v>459</v>
      </c>
      <c r="AD74" s="354" t="s">
        <v>461</v>
      </c>
      <c r="AE74" s="354" t="s">
        <v>461</v>
      </c>
      <c r="AF74" s="354" t="s">
        <v>461</v>
      </c>
      <c r="AG74" s="354" t="s">
        <v>461</v>
      </c>
      <c r="AH74" s="354" t="s">
        <v>461</v>
      </c>
      <c r="AI74" s="354" t="s">
        <v>461</v>
      </c>
      <c r="AJ74" s="354" t="s">
        <v>461</v>
      </c>
      <c r="AK74" s="354" t="s">
        <v>461</v>
      </c>
      <c r="AL74" s="358" t="s">
        <v>98</v>
      </c>
      <c r="AM74" s="358" t="s">
        <v>98</v>
      </c>
      <c r="AN74" s="358" t="s">
        <v>98</v>
      </c>
      <c r="AO74" s="358" t="s">
        <v>98</v>
      </c>
      <c r="AP74" s="358" t="s">
        <v>98</v>
      </c>
      <c r="AQ74" s="387"/>
      <c r="AR74" s="388" t="s">
        <v>458</v>
      </c>
      <c r="AS74" s="388" t="s">
        <v>458</v>
      </c>
      <c r="AT74" s="388" t="s">
        <v>458</v>
      </c>
      <c r="AU74" s="388" t="s">
        <v>458</v>
      </c>
      <c r="AV74" s="388" t="s">
        <v>458</v>
      </c>
      <c r="AW74" s="388" t="s">
        <v>458</v>
      </c>
      <c r="AX74" s="388" t="s">
        <v>458</v>
      </c>
      <c r="AY74" s="388" t="s">
        <v>458</v>
      </c>
      <c r="AZ74" s="374" t="s">
        <v>459</v>
      </c>
      <c r="BA74" s="374" t="s">
        <v>458</v>
      </c>
      <c r="BB74" s="411" t="s">
        <v>471</v>
      </c>
      <c r="BC74" s="374" t="s">
        <v>459</v>
      </c>
      <c r="BD74" s="374" t="s">
        <v>459</v>
      </c>
      <c r="BE74" s="387"/>
      <c r="BF74" s="388" t="s">
        <v>458</v>
      </c>
      <c r="BG74" s="388" t="s">
        <v>458</v>
      </c>
      <c r="BH74" s="388" t="s">
        <v>458</v>
      </c>
      <c r="BI74" s="388" t="s">
        <v>458</v>
      </c>
      <c r="BJ74" s="388" t="s">
        <v>458</v>
      </c>
      <c r="BK74" s="388" t="s">
        <v>458</v>
      </c>
      <c r="BL74" s="388" t="s">
        <v>458</v>
      </c>
      <c r="BM74" s="388" t="s">
        <v>458</v>
      </c>
      <c r="BN74" s="388" t="s">
        <v>458</v>
      </c>
      <c r="BO74" s="388" t="s">
        <v>458</v>
      </c>
      <c r="BP74" s="374" t="s">
        <v>459</v>
      </c>
      <c r="BQ74" s="374" t="s">
        <v>459</v>
      </c>
      <c r="BR74" s="374" t="s">
        <v>459</v>
      </c>
      <c r="BS74" s="28"/>
      <c r="BT74" s="354" t="s">
        <v>461</v>
      </c>
      <c r="BU74" s="354" t="s">
        <v>461</v>
      </c>
      <c r="BV74" s="354" t="s">
        <v>461</v>
      </c>
      <c r="BW74" s="354" t="s">
        <v>461</v>
      </c>
      <c r="BX74" s="354" t="s">
        <v>461</v>
      </c>
      <c r="BY74" s="354" t="s">
        <v>461</v>
      </c>
      <c r="BZ74" s="354" t="s">
        <v>461</v>
      </c>
      <c r="CA74" s="354" t="s">
        <v>461</v>
      </c>
      <c r="CB74" s="358" t="s">
        <v>98</v>
      </c>
      <c r="CC74" s="358" t="s">
        <v>98</v>
      </c>
      <c r="CD74" s="358" t="s">
        <v>98</v>
      </c>
      <c r="CE74" s="358" t="s">
        <v>98</v>
      </c>
      <c r="CF74" s="358" t="s">
        <v>98</v>
      </c>
      <c r="CG74" s="387"/>
      <c r="CH74" s="388" t="s">
        <v>458</v>
      </c>
      <c r="CI74" s="388" t="s">
        <v>458</v>
      </c>
      <c r="CJ74" s="388" t="s">
        <v>458</v>
      </c>
      <c r="CK74" s="388" t="s">
        <v>458</v>
      </c>
      <c r="CL74" s="388" t="s">
        <v>458</v>
      </c>
      <c r="CM74" s="388" t="s">
        <v>458</v>
      </c>
      <c r="CN74" s="388" t="s">
        <v>458</v>
      </c>
      <c r="CO74" s="388" t="s">
        <v>458</v>
      </c>
      <c r="CP74" s="388" t="s">
        <v>459</v>
      </c>
      <c r="CQ74" s="388" t="s">
        <v>458</v>
      </c>
      <c r="CR74" s="374" t="s">
        <v>459</v>
      </c>
      <c r="CS74" s="374" t="s">
        <v>459</v>
      </c>
      <c r="CT74" s="374" t="s">
        <v>459</v>
      </c>
      <c r="CU74" s="387"/>
      <c r="CV74" s="388" t="s">
        <v>458</v>
      </c>
      <c r="CW74" s="388" t="s">
        <v>458</v>
      </c>
      <c r="CX74" s="388" t="s">
        <v>458</v>
      </c>
      <c r="CY74" s="388" t="s">
        <v>458</v>
      </c>
      <c r="CZ74" s="388" t="s">
        <v>458</v>
      </c>
      <c r="DA74" s="388" t="s">
        <v>458</v>
      </c>
      <c r="DB74" s="388" t="s">
        <v>458</v>
      </c>
      <c r="DC74" s="388" t="s">
        <v>458</v>
      </c>
      <c r="DD74" s="398" t="s">
        <v>459</v>
      </c>
      <c r="DE74" s="388" t="s">
        <v>458</v>
      </c>
      <c r="DF74" s="398" t="s">
        <v>459</v>
      </c>
      <c r="DG74" s="398" t="s">
        <v>459</v>
      </c>
      <c r="DH74" s="399" t="s">
        <v>459</v>
      </c>
    </row>
    <row r="75" spans="1:112" ht="89.25">
      <c r="A75" s="708" t="s">
        <v>38</v>
      </c>
      <c r="B75" s="354" t="s">
        <v>461</v>
      </c>
      <c r="C75" s="354" t="s">
        <v>461</v>
      </c>
      <c r="D75" s="354" t="s">
        <v>461</v>
      </c>
      <c r="E75" s="354" t="s">
        <v>461</v>
      </c>
      <c r="F75" s="354" t="s">
        <v>461</v>
      </c>
      <c r="G75" s="354" t="s">
        <v>461</v>
      </c>
      <c r="H75" s="354" t="s">
        <v>461</v>
      </c>
      <c r="I75" s="354" t="s">
        <v>461</v>
      </c>
      <c r="J75" s="358" t="s">
        <v>98</v>
      </c>
      <c r="K75" s="358" t="s">
        <v>98</v>
      </c>
      <c r="L75" s="358" t="s">
        <v>98</v>
      </c>
      <c r="M75" s="358" t="s">
        <v>98</v>
      </c>
      <c r="N75" s="358" t="s">
        <v>98</v>
      </c>
      <c r="P75" s="349" t="s">
        <v>457</v>
      </c>
      <c r="Q75" s="349" t="s">
        <v>457</v>
      </c>
      <c r="R75" s="349" t="s">
        <v>457</v>
      </c>
      <c r="S75" s="349" t="s">
        <v>457</v>
      </c>
      <c r="T75" s="351" t="s">
        <v>458</v>
      </c>
      <c r="U75" s="352" t="s">
        <v>458</v>
      </c>
      <c r="V75" s="351" t="s">
        <v>458</v>
      </c>
      <c r="W75" s="352" t="s">
        <v>458</v>
      </c>
      <c r="X75" s="362" t="s">
        <v>459</v>
      </c>
      <c r="Y75" s="351" t="s">
        <v>458</v>
      </c>
      <c r="Z75" s="370" t="s">
        <v>459</v>
      </c>
      <c r="AA75" s="370" t="s">
        <v>459</v>
      </c>
      <c r="AB75" s="370" t="s">
        <v>459</v>
      </c>
      <c r="AD75" s="354" t="s">
        <v>461</v>
      </c>
      <c r="AE75" s="354" t="s">
        <v>461</v>
      </c>
      <c r="AF75" s="354" t="s">
        <v>461</v>
      </c>
      <c r="AG75" s="354" t="s">
        <v>461</v>
      </c>
      <c r="AH75" s="354" t="s">
        <v>461</v>
      </c>
      <c r="AI75" s="354" t="s">
        <v>461</v>
      </c>
      <c r="AJ75" s="354" t="s">
        <v>461</v>
      </c>
      <c r="AK75" s="354" t="s">
        <v>461</v>
      </c>
      <c r="AL75" s="358" t="s">
        <v>98</v>
      </c>
      <c r="AM75" s="358" t="s">
        <v>98</v>
      </c>
      <c r="AN75" s="358" t="s">
        <v>98</v>
      </c>
      <c r="AO75" s="358" t="s">
        <v>98</v>
      </c>
      <c r="AP75" s="358" t="s">
        <v>98</v>
      </c>
      <c r="AQ75" s="61"/>
      <c r="AR75" s="388" t="s">
        <v>458</v>
      </c>
      <c r="AS75" s="388" t="s">
        <v>458</v>
      </c>
      <c r="AT75" s="388" t="s">
        <v>458</v>
      </c>
      <c r="AU75" s="388" t="s">
        <v>458</v>
      </c>
      <c r="AV75" s="388" t="s">
        <v>458</v>
      </c>
      <c r="AW75" s="388" t="s">
        <v>458</v>
      </c>
      <c r="AX75" s="388" t="s">
        <v>458</v>
      </c>
      <c r="AY75" s="388" t="s">
        <v>458</v>
      </c>
      <c r="AZ75" s="374" t="s">
        <v>459</v>
      </c>
      <c r="BA75" s="374" t="s">
        <v>458</v>
      </c>
      <c r="BB75" s="411" t="s">
        <v>471</v>
      </c>
      <c r="BC75" s="374" t="s">
        <v>459</v>
      </c>
      <c r="BD75" s="374" t="s">
        <v>459</v>
      </c>
      <c r="BE75" s="61"/>
      <c r="BF75" s="388" t="s">
        <v>458</v>
      </c>
      <c r="BG75" s="388" t="s">
        <v>458</v>
      </c>
      <c r="BH75" s="388" t="s">
        <v>458</v>
      </c>
      <c r="BI75" s="388" t="s">
        <v>458</v>
      </c>
      <c r="BJ75" s="388" t="s">
        <v>458</v>
      </c>
      <c r="BK75" s="388" t="s">
        <v>458</v>
      </c>
      <c r="BL75" s="388" t="s">
        <v>458</v>
      </c>
      <c r="BM75" s="388" t="s">
        <v>458</v>
      </c>
      <c r="BN75" s="388" t="s">
        <v>458</v>
      </c>
      <c r="BO75" s="388" t="s">
        <v>458</v>
      </c>
      <c r="BP75" s="374" t="s">
        <v>459</v>
      </c>
      <c r="BQ75" s="374" t="s">
        <v>459</v>
      </c>
      <c r="BR75" s="374" t="s">
        <v>459</v>
      </c>
      <c r="BS75" s="27"/>
      <c r="BT75" s="354" t="s">
        <v>461</v>
      </c>
      <c r="BU75" s="354" t="s">
        <v>461</v>
      </c>
      <c r="BV75" s="354" t="s">
        <v>461</v>
      </c>
      <c r="BW75" s="354" t="s">
        <v>461</v>
      </c>
      <c r="BX75" s="354" t="s">
        <v>461</v>
      </c>
      <c r="BY75" s="354" t="s">
        <v>461</v>
      </c>
      <c r="BZ75" s="354" t="s">
        <v>461</v>
      </c>
      <c r="CA75" s="354" t="s">
        <v>461</v>
      </c>
      <c r="CB75" s="358" t="s">
        <v>98</v>
      </c>
      <c r="CC75" s="358" t="s">
        <v>98</v>
      </c>
      <c r="CD75" s="358" t="s">
        <v>98</v>
      </c>
      <c r="CE75" s="358" t="s">
        <v>98</v>
      </c>
      <c r="CF75" s="358" t="s">
        <v>98</v>
      </c>
      <c r="CG75" s="61"/>
      <c r="CH75" s="388" t="s">
        <v>458</v>
      </c>
      <c r="CI75" s="388" t="s">
        <v>458</v>
      </c>
      <c r="CJ75" s="388" t="s">
        <v>458</v>
      </c>
      <c r="CK75" s="388" t="s">
        <v>458</v>
      </c>
      <c r="CL75" s="388" t="s">
        <v>458</v>
      </c>
      <c r="CM75" s="388" t="s">
        <v>458</v>
      </c>
      <c r="CN75" s="388" t="s">
        <v>458</v>
      </c>
      <c r="CO75" s="388" t="s">
        <v>458</v>
      </c>
      <c r="CP75" s="388" t="s">
        <v>459</v>
      </c>
      <c r="CQ75" s="388" t="s">
        <v>458</v>
      </c>
      <c r="CR75" s="374" t="s">
        <v>459</v>
      </c>
      <c r="CS75" s="374" t="s">
        <v>459</v>
      </c>
      <c r="CT75" s="374" t="s">
        <v>459</v>
      </c>
      <c r="CU75" s="61"/>
      <c r="CV75" s="388" t="s">
        <v>458</v>
      </c>
      <c r="CW75" s="388" t="s">
        <v>458</v>
      </c>
      <c r="CX75" s="388" t="s">
        <v>458</v>
      </c>
      <c r="CY75" s="388" t="s">
        <v>458</v>
      </c>
      <c r="CZ75" s="388" t="s">
        <v>458</v>
      </c>
      <c r="DA75" s="388" t="s">
        <v>458</v>
      </c>
      <c r="DB75" s="388" t="s">
        <v>458</v>
      </c>
      <c r="DC75" s="388" t="s">
        <v>458</v>
      </c>
      <c r="DD75" s="398" t="s">
        <v>459</v>
      </c>
      <c r="DE75" s="388" t="s">
        <v>458</v>
      </c>
      <c r="DF75" s="398" t="s">
        <v>459</v>
      </c>
      <c r="DG75" s="398" t="s">
        <v>459</v>
      </c>
      <c r="DH75" s="399" t="s">
        <v>459</v>
      </c>
    </row>
    <row r="76" spans="1:112" ht="89.25">
      <c r="A76" s="708" t="s">
        <v>62</v>
      </c>
      <c r="B76" s="354" t="s">
        <v>461</v>
      </c>
      <c r="C76" s="354" t="s">
        <v>461</v>
      </c>
      <c r="D76" s="354" t="s">
        <v>461</v>
      </c>
      <c r="E76" s="354" t="s">
        <v>461</v>
      </c>
      <c r="F76" s="354" t="s">
        <v>461</v>
      </c>
      <c r="G76" s="354" t="s">
        <v>461</v>
      </c>
      <c r="H76" s="354" t="s">
        <v>461</v>
      </c>
      <c r="I76" s="354" t="s">
        <v>461</v>
      </c>
      <c r="J76" s="358" t="s">
        <v>98</v>
      </c>
      <c r="K76" s="358" t="s">
        <v>98</v>
      </c>
      <c r="L76" s="358" t="s">
        <v>98</v>
      </c>
      <c r="M76" s="358" t="s">
        <v>98</v>
      </c>
      <c r="N76" s="358" t="s">
        <v>98</v>
      </c>
      <c r="P76" s="349" t="s">
        <v>457</v>
      </c>
      <c r="Q76" s="349" t="s">
        <v>457</v>
      </c>
      <c r="R76" s="349" t="s">
        <v>457</v>
      </c>
      <c r="S76" s="349" t="s">
        <v>457</v>
      </c>
      <c r="T76" s="351" t="s">
        <v>458</v>
      </c>
      <c r="U76" s="352" t="s">
        <v>458</v>
      </c>
      <c r="V76" s="351" t="s">
        <v>458</v>
      </c>
      <c r="W76" s="352" t="s">
        <v>458</v>
      </c>
      <c r="X76" s="362" t="s">
        <v>459</v>
      </c>
      <c r="Y76" s="351" t="s">
        <v>458</v>
      </c>
      <c r="Z76" s="370" t="s">
        <v>459</v>
      </c>
      <c r="AA76" s="370" t="s">
        <v>459</v>
      </c>
      <c r="AB76" s="370" t="s">
        <v>459</v>
      </c>
      <c r="AD76" s="354" t="s">
        <v>461</v>
      </c>
      <c r="AE76" s="354" t="s">
        <v>461</v>
      </c>
      <c r="AF76" s="354" t="s">
        <v>461</v>
      </c>
      <c r="AG76" s="354" t="s">
        <v>461</v>
      </c>
      <c r="AH76" s="354" t="s">
        <v>461</v>
      </c>
      <c r="AI76" s="354" t="s">
        <v>461</v>
      </c>
      <c r="AJ76" s="354" t="s">
        <v>461</v>
      </c>
      <c r="AK76" s="354" t="s">
        <v>461</v>
      </c>
      <c r="AL76" s="358" t="s">
        <v>98</v>
      </c>
      <c r="AM76" s="358" t="s">
        <v>98</v>
      </c>
      <c r="AN76" s="358" t="s">
        <v>98</v>
      </c>
      <c r="AO76" s="358" t="s">
        <v>98</v>
      </c>
      <c r="AP76" s="358" t="s">
        <v>98</v>
      </c>
      <c r="AQ76" s="61"/>
      <c r="AR76" s="388" t="s">
        <v>458</v>
      </c>
      <c r="AS76" s="388" t="s">
        <v>458</v>
      </c>
      <c r="AT76" s="388" t="s">
        <v>458</v>
      </c>
      <c r="AU76" s="388" t="s">
        <v>458</v>
      </c>
      <c r="AV76" s="388" t="s">
        <v>458</v>
      </c>
      <c r="AW76" s="388" t="s">
        <v>458</v>
      </c>
      <c r="AX76" s="388" t="s">
        <v>458</v>
      </c>
      <c r="AY76" s="388" t="s">
        <v>458</v>
      </c>
      <c r="AZ76" s="374" t="s">
        <v>459</v>
      </c>
      <c r="BA76" s="374" t="s">
        <v>458</v>
      </c>
      <c r="BB76" s="411" t="s">
        <v>471</v>
      </c>
      <c r="BC76" s="374" t="s">
        <v>459</v>
      </c>
      <c r="BD76" s="374" t="s">
        <v>459</v>
      </c>
      <c r="BE76" s="61"/>
      <c r="BF76" s="388" t="s">
        <v>458</v>
      </c>
      <c r="BG76" s="388" t="s">
        <v>458</v>
      </c>
      <c r="BH76" s="388" t="s">
        <v>458</v>
      </c>
      <c r="BI76" s="388" t="s">
        <v>458</v>
      </c>
      <c r="BJ76" s="388" t="s">
        <v>458</v>
      </c>
      <c r="BK76" s="388" t="s">
        <v>458</v>
      </c>
      <c r="BL76" s="388" t="s">
        <v>458</v>
      </c>
      <c r="BM76" s="388" t="s">
        <v>458</v>
      </c>
      <c r="BN76" s="388" t="s">
        <v>458</v>
      </c>
      <c r="BO76" s="388" t="s">
        <v>458</v>
      </c>
      <c r="BP76" s="374" t="s">
        <v>459</v>
      </c>
      <c r="BQ76" s="374" t="s">
        <v>459</v>
      </c>
      <c r="BR76" s="374" t="s">
        <v>459</v>
      </c>
      <c r="BS76" s="27"/>
      <c r="BT76" s="354" t="s">
        <v>461</v>
      </c>
      <c r="BU76" s="354" t="s">
        <v>461</v>
      </c>
      <c r="BV76" s="354" t="s">
        <v>461</v>
      </c>
      <c r="BW76" s="354" t="s">
        <v>461</v>
      </c>
      <c r="BX76" s="354" t="s">
        <v>461</v>
      </c>
      <c r="BY76" s="354" t="s">
        <v>461</v>
      </c>
      <c r="BZ76" s="354" t="s">
        <v>461</v>
      </c>
      <c r="CA76" s="354" t="s">
        <v>461</v>
      </c>
      <c r="CB76" s="358" t="s">
        <v>98</v>
      </c>
      <c r="CC76" s="358" t="s">
        <v>98</v>
      </c>
      <c r="CD76" s="358" t="s">
        <v>98</v>
      </c>
      <c r="CE76" s="358" t="s">
        <v>98</v>
      </c>
      <c r="CF76" s="358" t="s">
        <v>98</v>
      </c>
      <c r="CG76" s="61"/>
      <c r="CH76" s="374" t="s">
        <v>458</v>
      </c>
      <c r="CI76" s="374" t="s">
        <v>458</v>
      </c>
      <c r="CJ76" s="374" t="s">
        <v>458</v>
      </c>
      <c r="CK76" s="374" t="s">
        <v>458</v>
      </c>
      <c r="CL76" s="374" t="s">
        <v>458</v>
      </c>
      <c r="CM76" s="374" t="s">
        <v>458</v>
      </c>
      <c r="CN76" s="374" t="s">
        <v>458</v>
      </c>
      <c r="CO76" s="374" t="s">
        <v>458</v>
      </c>
      <c r="CP76" s="374" t="s">
        <v>459</v>
      </c>
      <c r="CQ76" s="374" t="s">
        <v>458</v>
      </c>
      <c r="CR76" s="374" t="s">
        <v>459</v>
      </c>
      <c r="CS76" s="374" t="s">
        <v>459</v>
      </c>
      <c r="CT76" s="374" t="s">
        <v>459</v>
      </c>
      <c r="CU76" s="61"/>
      <c r="CV76" s="388" t="s">
        <v>458</v>
      </c>
      <c r="CW76" s="388" t="s">
        <v>458</v>
      </c>
      <c r="CX76" s="388" t="s">
        <v>458</v>
      </c>
      <c r="CY76" s="388" t="s">
        <v>458</v>
      </c>
      <c r="CZ76" s="388" t="s">
        <v>458</v>
      </c>
      <c r="DA76" s="388" t="s">
        <v>458</v>
      </c>
      <c r="DB76" s="388" t="s">
        <v>458</v>
      </c>
      <c r="DC76" s="388" t="s">
        <v>458</v>
      </c>
      <c r="DD76" s="398" t="s">
        <v>459</v>
      </c>
      <c r="DE76" s="388" t="s">
        <v>458</v>
      </c>
      <c r="DF76" s="398" t="s">
        <v>459</v>
      </c>
      <c r="DG76" s="398" t="s">
        <v>459</v>
      </c>
      <c r="DH76" s="399" t="s">
        <v>459</v>
      </c>
    </row>
    <row r="77" spans="1:112" ht="89.25">
      <c r="A77" s="708" t="s">
        <v>63</v>
      </c>
      <c r="B77" s="354" t="s">
        <v>461</v>
      </c>
      <c r="C77" s="354" t="s">
        <v>461</v>
      </c>
      <c r="D77" s="354" t="s">
        <v>461</v>
      </c>
      <c r="E77" s="354" t="s">
        <v>461</v>
      </c>
      <c r="F77" s="354" t="s">
        <v>461</v>
      </c>
      <c r="G77" s="354" t="s">
        <v>461</v>
      </c>
      <c r="H77" s="354" t="s">
        <v>461</v>
      </c>
      <c r="I77" s="354" t="s">
        <v>461</v>
      </c>
      <c r="J77" s="358" t="s">
        <v>98</v>
      </c>
      <c r="K77" s="358" t="s">
        <v>98</v>
      </c>
      <c r="L77" s="358" t="s">
        <v>98</v>
      </c>
      <c r="M77" s="358" t="s">
        <v>98</v>
      </c>
      <c r="N77" s="358" t="s">
        <v>98</v>
      </c>
      <c r="P77" s="349" t="s">
        <v>457</v>
      </c>
      <c r="Q77" s="349" t="s">
        <v>457</v>
      </c>
      <c r="R77" s="349" t="s">
        <v>457</v>
      </c>
      <c r="S77" s="349" t="s">
        <v>457</v>
      </c>
      <c r="T77" s="351" t="s">
        <v>458</v>
      </c>
      <c r="U77" s="352" t="s">
        <v>458</v>
      </c>
      <c r="V77" s="351" t="s">
        <v>458</v>
      </c>
      <c r="W77" s="352" t="s">
        <v>458</v>
      </c>
      <c r="X77" s="362" t="s">
        <v>459</v>
      </c>
      <c r="Y77" s="351" t="s">
        <v>458</v>
      </c>
      <c r="Z77" s="370" t="s">
        <v>459</v>
      </c>
      <c r="AA77" s="370" t="s">
        <v>459</v>
      </c>
      <c r="AB77" s="370" t="s">
        <v>459</v>
      </c>
      <c r="AD77" s="354" t="s">
        <v>461</v>
      </c>
      <c r="AE77" s="354" t="s">
        <v>461</v>
      </c>
      <c r="AF77" s="354" t="s">
        <v>461</v>
      </c>
      <c r="AG77" s="354" t="s">
        <v>461</v>
      </c>
      <c r="AH77" s="354" t="s">
        <v>461</v>
      </c>
      <c r="AI77" s="354" t="s">
        <v>461</v>
      </c>
      <c r="AJ77" s="354" t="s">
        <v>461</v>
      </c>
      <c r="AK77" s="354" t="s">
        <v>461</v>
      </c>
      <c r="AL77" s="358" t="s">
        <v>98</v>
      </c>
      <c r="AM77" s="358" t="s">
        <v>98</v>
      </c>
      <c r="AN77" s="358" t="s">
        <v>98</v>
      </c>
      <c r="AO77" s="358" t="s">
        <v>98</v>
      </c>
      <c r="AP77" s="358" t="s">
        <v>98</v>
      </c>
      <c r="AQ77" s="61"/>
      <c r="AR77" s="388" t="s">
        <v>458</v>
      </c>
      <c r="AS77" s="388" t="s">
        <v>458</v>
      </c>
      <c r="AT77" s="388" t="s">
        <v>458</v>
      </c>
      <c r="AU77" s="388" t="s">
        <v>458</v>
      </c>
      <c r="AV77" s="388" t="s">
        <v>458</v>
      </c>
      <c r="AW77" s="388" t="s">
        <v>458</v>
      </c>
      <c r="AX77" s="388" t="s">
        <v>458</v>
      </c>
      <c r="AY77" s="388" t="s">
        <v>458</v>
      </c>
      <c r="AZ77" s="374" t="s">
        <v>459</v>
      </c>
      <c r="BA77" s="374" t="s">
        <v>458</v>
      </c>
      <c r="BB77" s="411" t="s">
        <v>471</v>
      </c>
      <c r="BC77" s="374" t="s">
        <v>459</v>
      </c>
      <c r="BD77" s="374" t="s">
        <v>459</v>
      </c>
      <c r="BE77" s="61"/>
      <c r="BF77" s="388" t="s">
        <v>458</v>
      </c>
      <c r="BG77" s="388" t="s">
        <v>458</v>
      </c>
      <c r="BH77" s="388" t="s">
        <v>458</v>
      </c>
      <c r="BI77" s="388" t="s">
        <v>458</v>
      </c>
      <c r="BJ77" s="388" t="s">
        <v>458</v>
      </c>
      <c r="BK77" s="388" t="s">
        <v>458</v>
      </c>
      <c r="BL77" s="388" t="s">
        <v>458</v>
      </c>
      <c r="BM77" s="388" t="s">
        <v>458</v>
      </c>
      <c r="BN77" s="388" t="s">
        <v>458</v>
      </c>
      <c r="BO77" s="388" t="s">
        <v>458</v>
      </c>
      <c r="BP77" s="374" t="s">
        <v>459</v>
      </c>
      <c r="BQ77" s="374" t="s">
        <v>459</v>
      </c>
      <c r="BR77" s="374" t="s">
        <v>459</v>
      </c>
      <c r="BS77" s="27"/>
      <c r="BT77" s="354" t="s">
        <v>461</v>
      </c>
      <c r="BU77" s="354" t="s">
        <v>461</v>
      </c>
      <c r="BV77" s="354" t="s">
        <v>461</v>
      </c>
      <c r="BW77" s="354" t="s">
        <v>461</v>
      </c>
      <c r="BX77" s="354" t="s">
        <v>461</v>
      </c>
      <c r="BY77" s="354" t="s">
        <v>461</v>
      </c>
      <c r="BZ77" s="354" t="s">
        <v>461</v>
      </c>
      <c r="CA77" s="354" t="s">
        <v>461</v>
      </c>
      <c r="CB77" s="358" t="s">
        <v>98</v>
      </c>
      <c r="CC77" s="358" t="s">
        <v>98</v>
      </c>
      <c r="CD77" s="358" t="s">
        <v>98</v>
      </c>
      <c r="CE77" s="358" t="s">
        <v>98</v>
      </c>
      <c r="CF77" s="358" t="s">
        <v>98</v>
      </c>
      <c r="CG77" s="61"/>
      <c r="CH77" s="374" t="s">
        <v>458</v>
      </c>
      <c r="CI77" s="374" t="s">
        <v>458</v>
      </c>
      <c r="CJ77" s="374" t="s">
        <v>458</v>
      </c>
      <c r="CK77" s="374" t="s">
        <v>458</v>
      </c>
      <c r="CL77" s="374" t="s">
        <v>458</v>
      </c>
      <c r="CM77" s="374" t="s">
        <v>458</v>
      </c>
      <c r="CN77" s="374" t="s">
        <v>458</v>
      </c>
      <c r="CO77" s="374" t="s">
        <v>458</v>
      </c>
      <c r="CP77" s="374" t="s">
        <v>459</v>
      </c>
      <c r="CQ77" s="374" t="s">
        <v>458</v>
      </c>
      <c r="CR77" s="374" t="s">
        <v>459</v>
      </c>
      <c r="CS77" s="374" t="s">
        <v>459</v>
      </c>
      <c r="CT77" s="374" t="s">
        <v>459</v>
      </c>
      <c r="CU77" s="61"/>
      <c r="CV77" s="388" t="s">
        <v>458</v>
      </c>
      <c r="CW77" s="388" t="s">
        <v>458</v>
      </c>
      <c r="CX77" s="388" t="s">
        <v>458</v>
      </c>
      <c r="CY77" s="388" t="s">
        <v>458</v>
      </c>
      <c r="CZ77" s="388" t="s">
        <v>458</v>
      </c>
      <c r="DA77" s="388" t="s">
        <v>458</v>
      </c>
      <c r="DB77" s="388" t="s">
        <v>458</v>
      </c>
      <c r="DC77" s="388" t="s">
        <v>458</v>
      </c>
      <c r="DD77" s="398" t="s">
        <v>459</v>
      </c>
      <c r="DE77" s="388" t="s">
        <v>458</v>
      </c>
      <c r="DF77" s="398" t="s">
        <v>459</v>
      </c>
      <c r="DG77" s="398" t="s">
        <v>459</v>
      </c>
      <c r="DH77" s="399" t="s">
        <v>459</v>
      </c>
    </row>
    <row r="78" spans="1:112" ht="89.25">
      <c r="A78" s="708" t="s">
        <v>64</v>
      </c>
      <c r="B78" s="354" t="s">
        <v>461</v>
      </c>
      <c r="C78" s="354" t="s">
        <v>461</v>
      </c>
      <c r="D78" s="354" t="s">
        <v>461</v>
      </c>
      <c r="E78" s="354" t="s">
        <v>461</v>
      </c>
      <c r="F78" s="354" t="s">
        <v>461</v>
      </c>
      <c r="G78" s="354" t="s">
        <v>461</v>
      </c>
      <c r="H78" s="354" t="s">
        <v>461</v>
      </c>
      <c r="I78" s="354" t="s">
        <v>461</v>
      </c>
      <c r="J78" s="358" t="s">
        <v>98</v>
      </c>
      <c r="K78" s="358" t="s">
        <v>98</v>
      </c>
      <c r="L78" s="358" t="s">
        <v>98</v>
      </c>
      <c r="M78" s="358" t="s">
        <v>98</v>
      </c>
      <c r="N78" s="358" t="s">
        <v>98</v>
      </c>
      <c r="P78" s="349" t="s">
        <v>457</v>
      </c>
      <c r="Q78" s="349" t="s">
        <v>457</v>
      </c>
      <c r="R78" s="349" t="s">
        <v>457</v>
      </c>
      <c r="S78" s="349" t="s">
        <v>457</v>
      </c>
      <c r="T78" s="351" t="s">
        <v>458</v>
      </c>
      <c r="U78" s="352" t="s">
        <v>458</v>
      </c>
      <c r="V78" s="351" t="s">
        <v>458</v>
      </c>
      <c r="W78" s="352" t="s">
        <v>458</v>
      </c>
      <c r="X78" s="362" t="s">
        <v>459</v>
      </c>
      <c r="Y78" s="351" t="s">
        <v>458</v>
      </c>
      <c r="Z78" s="370" t="s">
        <v>459</v>
      </c>
      <c r="AA78" s="370" t="s">
        <v>459</v>
      </c>
      <c r="AB78" s="370" t="s">
        <v>459</v>
      </c>
      <c r="AD78" s="354" t="s">
        <v>461</v>
      </c>
      <c r="AE78" s="354" t="s">
        <v>461</v>
      </c>
      <c r="AF78" s="354" t="s">
        <v>461</v>
      </c>
      <c r="AG78" s="354" t="s">
        <v>461</v>
      </c>
      <c r="AH78" s="354" t="s">
        <v>461</v>
      </c>
      <c r="AI78" s="354" t="s">
        <v>461</v>
      </c>
      <c r="AJ78" s="354" t="s">
        <v>461</v>
      </c>
      <c r="AK78" s="354" t="s">
        <v>461</v>
      </c>
      <c r="AL78" s="358" t="s">
        <v>98</v>
      </c>
      <c r="AM78" s="358" t="s">
        <v>98</v>
      </c>
      <c r="AN78" s="358" t="s">
        <v>98</v>
      </c>
      <c r="AO78" s="358" t="s">
        <v>98</v>
      </c>
      <c r="AP78" s="358" t="s">
        <v>98</v>
      </c>
      <c r="AQ78" s="387"/>
      <c r="AR78" s="388" t="s">
        <v>458</v>
      </c>
      <c r="AS78" s="388" t="s">
        <v>458</v>
      </c>
      <c r="AT78" s="388" t="s">
        <v>458</v>
      </c>
      <c r="AU78" s="388" t="s">
        <v>458</v>
      </c>
      <c r="AV78" s="388" t="s">
        <v>458</v>
      </c>
      <c r="AW78" s="388" t="s">
        <v>458</v>
      </c>
      <c r="AX78" s="388" t="s">
        <v>458</v>
      </c>
      <c r="AY78" s="388" t="s">
        <v>458</v>
      </c>
      <c r="AZ78" s="374" t="s">
        <v>459</v>
      </c>
      <c r="BA78" s="374" t="s">
        <v>458</v>
      </c>
      <c r="BB78" s="411" t="s">
        <v>471</v>
      </c>
      <c r="BC78" s="374" t="s">
        <v>459</v>
      </c>
      <c r="BD78" s="374" t="s">
        <v>459</v>
      </c>
      <c r="BE78" s="387"/>
      <c r="BF78" s="388" t="s">
        <v>458</v>
      </c>
      <c r="BG78" s="388" t="s">
        <v>458</v>
      </c>
      <c r="BH78" s="388" t="s">
        <v>458</v>
      </c>
      <c r="BI78" s="388" t="s">
        <v>458</v>
      </c>
      <c r="BJ78" s="388" t="s">
        <v>458</v>
      </c>
      <c r="BK78" s="388" t="s">
        <v>458</v>
      </c>
      <c r="BL78" s="388" t="s">
        <v>458</v>
      </c>
      <c r="BM78" s="388" t="s">
        <v>458</v>
      </c>
      <c r="BN78" s="388" t="s">
        <v>458</v>
      </c>
      <c r="BO78" s="388" t="s">
        <v>458</v>
      </c>
      <c r="BP78" s="374" t="s">
        <v>459</v>
      </c>
      <c r="BQ78" s="374" t="s">
        <v>459</v>
      </c>
      <c r="BR78" s="374" t="s">
        <v>459</v>
      </c>
      <c r="BS78" s="28"/>
      <c r="BT78" s="354" t="s">
        <v>461</v>
      </c>
      <c r="BU78" s="354" t="s">
        <v>461</v>
      </c>
      <c r="BV78" s="354" t="s">
        <v>461</v>
      </c>
      <c r="BW78" s="354" t="s">
        <v>461</v>
      </c>
      <c r="BX78" s="354" t="s">
        <v>461</v>
      </c>
      <c r="BY78" s="354" t="s">
        <v>461</v>
      </c>
      <c r="BZ78" s="354" t="s">
        <v>461</v>
      </c>
      <c r="CA78" s="354" t="s">
        <v>461</v>
      </c>
      <c r="CB78" s="358" t="s">
        <v>98</v>
      </c>
      <c r="CC78" s="358" t="s">
        <v>98</v>
      </c>
      <c r="CD78" s="358" t="s">
        <v>98</v>
      </c>
      <c r="CE78" s="358" t="s">
        <v>98</v>
      </c>
      <c r="CF78" s="358" t="s">
        <v>98</v>
      </c>
      <c r="CG78" s="387"/>
      <c r="CH78" s="388" t="s">
        <v>458</v>
      </c>
      <c r="CI78" s="388" t="s">
        <v>458</v>
      </c>
      <c r="CJ78" s="388" t="s">
        <v>458</v>
      </c>
      <c r="CK78" s="388" t="s">
        <v>458</v>
      </c>
      <c r="CL78" s="388" t="s">
        <v>458</v>
      </c>
      <c r="CM78" s="388" t="s">
        <v>458</v>
      </c>
      <c r="CN78" s="388" t="s">
        <v>458</v>
      </c>
      <c r="CO78" s="388" t="s">
        <v>458</v>
      </c>
      <c r="CP78" s="388" t="s">
        <v>459</v>
      </c>
      <c r="CQ78" s="388" t="s">
        <v>458</v>
      </c>
      <c r="CR78" s="374" t="s">
        <v>459</v>
      </c>
      <c r="CS78" s="374" t="s">
        <v>459</v>
      </c>
      <c r="CT78" s="374" t="s">
        <v>459</v>
      </c>
      <c r="CU78" s="387"/>
      <c r="CV78" s="388" t="s">
        <v>458</v>
      </c>
      <c r="CW78" s="388" t="s">
        <v>458</v>
      </c>
      <c r="CX78" s="388" t="s">
        <v>458</v>
      </c>
      <c r="CY78" s="388" t="s">
        <v>458</v>
      </c>
      <c r="CZ78" s="388" t="s">
        <v>458</v>
      </c>
      <c r="DA78" s="388" t="s">
        <v>458</v>
      </c>
      <c r="DB78" s="388" t="s">
        <v>458</v>
      </c>
      <c r="DC78" s="388" t="s">
        <v>458</v>
      </c>
      <c r="DD78" s="398" t="s">
        <v>459</v>
      </c>
      <c r="DE78" s="388" t="s">
        <v>458</v>
      </c>
      <c r="DF78" s="398" t="s">
        <v>459</v>
      </c>
      <c r="DG78" s="398" t="s">
        <v>459</v>
      </c>
      <c r="DH78" s="399" t="s">
        <v>459</v>
      </c>
    </row>
    <row r="79" spans="1:112" ht="89.25">
      <c r="A79" s="708" t="s">
        <v>39</v>
      </c>
      <c r="B79" s="354" t="s">
        <v>461</v>
      </c>
      <c r="C79" s="354" t="s">
        <v>461</v>
      </c>
      <c r="D79" s="354" t="s">
        <v>461</v>
      </c>
      <c r="E79" s="354" t="s">
        <v>461</v>
      </c>
      <c r="F79" s="354" t="s">
        <v>461</v>
      </c>
      <c r="G79" s="354" t="s">
        <v>461</v>
      </c>
      <c r="H79" s="354" t="s">
        <v>461</v>
      </c>
      <c r="I79" s="354" t="s">
        <v>461</v>
      </c>
      <c r="J79" s="358" t="s">
        <v>98</v>
      </c>
      <c r="K79" s="358" t="s">
        <v>98</v>
      </c>
      <c r="L79" s="358" t="s">
        <v>98</v>
      </c>
      <c r="M79" s="358" t="s">
        <v>98</v>
      </c>
      <c r="N79" s="358" t="s">
        <v>98</v>
      </c>
      <c r="P79" s="354" t="s">
        <v>461</v>
      </c>
      <c r="Q79" s="354" t="s">
        <v>461</v>
      </c>
      <c r="R79" s="354" t="s">
        <v>461</v>
      </c>
      <c r="S79" s="354" t="s">
        <v>461</v>
      </c>
      <c r="T79" s="351" t="s">
        <v>458</v>
      </c>
      <c r="U79" s="352" t="s">
        <v>458</v>
      </c>
      <c r="V79" s="351" t="s">
        <v>458</v>
      </c>
      <c r="W79" s="352" t="s">
        <v>458</v>
      </c>
      <c r="X79" s="362" t="s">
        <v>459</v>
      </c>
      <c r="Y79" s="351" t="s">
        <v>458</v>
      </c>
      <c r="Z79" s="370" t="s">
        <v>459</v>
      </c>
      <c r="AA79" s="370" t="s">
        <v>459</v>
      </c>
      <c r="AB79" s="370" t="s">
        <v>459</v>
      </c>
      <c r="AD79" s="354" t="s">
        <v>461</v>
      </c>
      <c r="AE79" s="354" t="s">
        <v>461</v>
      </c>
      <c r="AF79" s="354" t="s">
        <v>461</v>
      </c>
      <c r="AG79" s="354" t="s">
        <v>461</v>
      </c>
      <c r="AH79" s="354" t="s">
        <v>461</v>
      </c>
      <c r="AI79" s="354" t="s">
        <v>461</v>
      </c>
      <c r="AJ79" s="354" t="s">
        <v>461</v>
      </c>
      <c r="AK79" s="354" t="s">
        <v>461</v>
      </c>
      <c r="AL79" s="358" t="s">
        <v>98</v>
      </c>
      <c r="AM79" s="358" t="s">
        <v>98</v>
      </c>
      <c r="AN79" s="358" t="s">
        <v>98</v>
      </c>
      <c r="AO79" s="358" t="s">
        <v>98</v>
      </c>
      <c r="AP79" s="358" t="s">
        <v>98</v>
      </c>
      <c r="AQ79" s="61"/>
      <c r="AR79" s="388" t="s">
        <v>458</v>
      </c>
      <c r="AS79" s="388" t="s">
        <v>458</v>
      </c>
      <c r="AT79" s="388" t="s">
        <v>458</v>
      </c>
      <c r="AU79" s="388" t="s">
        <v>458</v>
      </c>
      <c r="AV79" s="388" t="s">
        <v>458</v>
      </c>
      <c r="AW79" s="388" t="s">
        <v>458</v>
      </c>
      <c r="AX79" s="388" t="s">
        <v>458</v>
      </c>
      <c r="AY79" s="388" t="s">
        <v>458</v>
      </c>
      <c r="AZ79" s="374" t="s">
        <v>459</v>
      </c>
      <c r="BA79" s="374" t="s">
        <v>458</v>
      </c>
      <c r="BB79" s="411" t="s">
        <v>471</v>
      </c>
      <c r="BC79" s="374" t="s">
        <v>459</v>
      </c>
      <c r="BD79" s="374" t="s">
        <v>459</v>
      </c>
      <c r="BE79" s="61"/>
      <c r="BF79" s="388" t="s">
        <v>458</v>
      </c>
      <c r="BG79" s="388" t="s">
        <v>458</v>
      </c>
      <c r="BH79" s="388" t="s">
        <v>458</v>
      </c>
      <c r="BI79" s="388" t="s">
        <v>458</v>
      </c>
      <c r="BJ79" s="388" t="s">
        <v>458</v>
      </c>
      <c r="BK79" s="388" t="s">
        <v>458</v>
      </c>
      <c r="BL79" s="388" t="s">
        <v>458</v>
      </c>
      <c r="BM79" s="388" t="s">
        <v>458</v>
      </c>
      <c r="BN79" s="388" t="s">
        <v>458</v>
      </c>
      <c r="BO79" s="388" t="s">
        <v>458</v>
      </c>
      <c r="BP79" s="374" t="s">
        <v>459</v>
      </c>
      <c r="BQ79" s="374" t="s">
        <v>459</v>
      </c>
      <c r="BR79" s="374" t="s">
        <v>459</v>
      </c>
      <c r="BS79" s="27"/>
      <c r="BT79" s="354" t="s">
        <v>461</v>
      </c>
      <c r="BU79" s="354" t="s">
        <v>461</v>
      </c>
      <c r="BV79" s="354" t="s">
        <v>461</v>
      </c>
      <c r="BW79" s="354" t="s">
        <v>461</v>
      </c>
      <c r="BX79" s="354" t="s">
        <v>461</v>
      </c>
      <c r="BY79" s="354" t="s">
        <v>461</v>
      </c>
      <c r="BZ79" s="354" t="s">
        <v>461</v>
      </c>
      <c r="CA79" s="354" t="s">
        <v>461</v>
      </c>
      <c r="CB79" s="358" t="s">
        <v>98</v>
      </c>
      <c r="CC79" s="358" t="s">
        <v>98</v>
      </c>
      <c r="CD79" s="358" t="s">
        <v>98</v>
      </c>
      <c r="CE79" s="358" t="s">
        <v>98</v>
      </c>
      <c r="CF79" s="358" t="s">
        <v>98</v>
      </c>
      <c r="CG79" s="61"/>
      <c r="CH79" s="388" t="s">
        <v>458</v>
      </c>
      <c r="CI79" s="388" t="s">
        <v>458</v>
      </c>
      <c r="CJ79" s="388" t="s">
        <v>458</v>
      </c>
      <c r="CK79" s="388" t="s">
        <v>458</v>
      </c>
      <c r="CL79" s="388" t="s">
        <v>458</v>
      </c>
      <c r="CM79" s="388" t="s">
        <v>458</v>
      </c>
      <c r="CN79" s="388" t="s">
        <v>458</v>
      </c>
      <c r="CO79" s="388" t="s">
        <v>458</v>
      </c>
      <c r="CP79" s="388" t="s">
        <v>459</v>
      </c>
      <c r="CQ79" s="388" t="s">
        <v>458</v>
      </c>
      <c r="CR79" s="374" t="s">
        <v>459</v>
      </c>
      <c r="CS79" s="374" t="s">
        <v>459</v>
      </c>
      <c r="CT79" s="374" t="s">
        <v>459</v>
      </c>
      <c r="CU79" s="61"/>
      <c r="CV79" s="388" t="s">
        <v>458</v>
      </c>
      <c r="CW79" s="388" t="s">
        <v>458</v>
      </c>
      <c r="CX79" s="388" t="s">
        <v>458</v>
      </c>
      <c r="CY79" s="388" t="s">
        <v>458</v>
      </c>
      <c r="CZ79" s="388" t="s">
        <v>458</v>
      </c>
      <c r="DA79" s="388" t="s">
        <v>458</v>
      </c>
      <c r="DB79" s="388" t="s">
        <v>458</v>
      </c>
      <c r="DC79" s="388" t="s">
        <v>458</v>
      </c>
      <c r="DD79" s="398" t="s">
        <v>459</v>
      </c>
      <c r="DE79" s="388" t="s">
        <v>458</v>
      </c>
      <c r="DF79" s="398" t="s">
        <v>459</v>
      </c>
      <c r="DG79" s="398" t="s">
        <v>459</v>
      </c>
      <c r="DH79" s="399" t="s">
        <v>459</v>
      </c>
    </row>
    <row r="80" spans="1:112" ht="89.25">
      <c r="A80" s="708" t="s">
        <v>40</v>
      </c>
      <c r="B80" s="354" t="s">
        <v>461</v>
      </c>
      <c r="C80" s="354" t="s">
        <v>461</v>
      </c>
      <c r="D80" s="354" t="s">
        <v>461</v>
      </c>
      <c r="E80" s="354" t="s">
        <v>461</v>
      </c>
      <c r="F80" s="354" t="s">
        <v>461</v>
      </c>
      <c r="G80" s="354" t="s">
        <v>461</v>
      </c>
      <c r="H80" s="354" t="s">
        <v>461</v>
      </c>
      <c r="I80" s="354" t="s">
        <v>461</v>
      </c>
      <c r="J80" s="358" t="s">
        <v>98</v>
      </c>
      <c r="K80" s="358" t="s">
        <v>98</v>
      </c>
      <c r="L80" s="358" t="s">
        <v>98</v>
      </c>
      <c r="M80" s="358" t="s">
        <v>98</v>
      </c>
      <c r="N80" s="358" t="s">
        <v>98</v>
      </c>
      <c r="P80" s="354" t="s">
        <v>461</v>
      </c>
      <c r="Q80" s="354" t="s">
        <v>461</v>
      </c>
      <c r="R80" s="354" t="s">
        <v>461</v>
      </c>
      <c r="S80" s="354" t="s">
        <v>461</v>
      </c>
      <c r="T80" s="351" t="s">
        <v>458</v>
      </c>
      <c r="U80" s="352" t="s">
        <v>458</v>
      </c>
      <c r="V80" s="351" t="s">
        <v>458</v>
      </c>
      <c r="W80" s="352" t="s">
        <v>458</v>
      </c>
      <c r="X80" s="362" t="s">
        <v>459</v>
      </c>
      <c r="Y80" s="351" t="s">
        <v>458</v>
      </c>
      <c r="Z80" s="370" t="s">
        <v>459</v>
      </c>
      <c r="AA80" s="370" t="s">
        <v>459</v>
      </c>
      <c r="AB80" s="370" t="s">
        <v>459</v>
      </c>
      <c r="AD80" s="354" t="s">
        <v>461</v>
      </c>
      <c r="AE80" s="354" t="s">
        <v>461</v>
      </c>
      <c r="AF80" s="354" t="s">
        <v>461</v>
      </c>
      <c r="AG80" s="354" t="s">
        <v>461</v>
      </c>
      <c r="AH80" s="354" t="s">
        <v>461</v>
      </c>
      <c r="AI80" s="354" t="s">
        <v>461</v>
      </c>
      <c r="AJ80" s="354" t="s">
        <v>461</v>
      </c>
      <c r="AK80" s="354" t="s">
        <v>461</v>
      </c>
      <c r="AL80" s="358" t="s">
        <v>98</v>
      </c>
      <c r="AM80" s="358" t="s">
        <v>98</v>
      </c>
      <c r="AN80" s="358" t="s">
        <v>98</v>
      </c>
      <c r="AO80" s="358" t="s">
        <v>98</v>
      </c>
      <c r="AP80" s="358" t="s">
        <v>98</v>
      </c>
      <c r="AQ80" s="387"/>
      <c r="AR80" s="388" t="s">
        <v>458</v>
      </c>
      <c r="AS80" s="388" t="s">
        <v>458</v>
      </c>
      <c r="AT80" s="388" t="s">
        <v>458</v>
      </c>
      <c r="AU80" s="388" t="s">
        <v>458</v>
      </c>
      <c r="AV80" s="388" t="s">
        <v>458</v>
      </c>
      <c r="AW80" s="388" t="s">
        <v>458</v>
      </c>
      <c r="AX80" s="388" t="s">
        <v>458</v>
      </c>
      <c r="AY80" s="388" t="s">
        <v>458</v>
      </c>
      <c r="AZ80" s="374" t="s">
        <v>459</v>
      </c>
      <c r="BA80" s="374" t="s">
        <v>458</v>
      </c>
      <c r="BB80" s="411" t="s">
        <v>471</v>
      </c>
      <c r="BC80" s="374" t="s">
        <v>459</v>
      </c>
      <c r="BD80" s="374" t="s">
        <v>459</v>
      </c>
      <c r="BE80" s="387"/>
      <c r="BF80" s="388" t="s">
        <v>458</v>
      </c>
      <c r="BG80" s="388" t="s">
        <v>458</v>
      </c>
      <c r="BH80" s="388" t="s">
        <v>458</v>
      </c>
      <c r="BI80" s="388" t="s">
        <v>458</v>
      </c>
      <c r="BJ80" s="388" t="s">
        <v>458</v>
      </c>
      <c r="BK80" s="388" t="s">
        <v>458</v>
      </c>
      <c r="BL80" s="388" t="s">
        <v>458</v>
      </c>
      <c r="BM80" s="388" t="s">
        <v>458</v>
      </c>
      <c r="BN80" s="388" t="s">
        <v>458</v>
      </c>
      <c r="BO80" s="388" t="s">
        <v>458</v>
      </c>
      <c r="BP80" s="374" t="s">
        <v>459</v>
      </c>
      <c r="BQ80" s="374" t="s">
        <v>459</v>
      </c>
      <c r="BR80" s="374" t="s">
        <v>459</v>
      </c>
      <c r="BS80" s="28"/>
      <c r="BT80" s="354" t="s">
        <v>461</v>
      </c>
      <c r="BU80" s="354" t="s">
        <v>461</v>
      </c>
      <c r="BV80" s="354" t="s">
        <v>461</v>
      </c>
      <c r="BW80" s="354" t="s">
        <v>461</v>
      </c>
      <c r="BX80" s="354" t="s">
        <v>461</v>
      </c>
      <c r="BY80" s="354" t="s">
        <v>461</v>
      </c>
      <c r="BZ80" s="354" t="s">
        <v>461</v>
      </c>
      <c r="CA80" s="354" t="s">
        <v>461</v>
      </c>
      <c r="CB80" s="358" t="s">
        <v>98</v>
      </c>
      <c r="CC80" s="358" t="s">
        <v>98</v>
      </c>
      <c r="CD80" s="358" t="s">
        <v>98</v>
      </c>
      <c r="CE80" s="358" t="s">
        <v>98</v>
      </c>
      <c r="CF80" s="358" t="s">
        <v>98</v>
      </c>
      <c r="CG80" s="387"/>
      <c r="CH80" s="388" t="s">
        <v>458</v>
      </c>
      <c r="CI80" s="388" t="s">
        <v>458</v>
      </c>
      <c r="CJ80" s="388" t="s">
        <v>458</v>
      </c>
      <c r="CK80" s="388" t="s">
        <v>458</v>
      </c>
      <c r="CL80" s="388" t="s">
        <v>458</v>
      </c>
      <c r="CM80" s="388" t="s">
        <v>458</v>
      </c>
      <c r="CN80" s="388" t="s">
        <v>458</v>
      </c>
      <c r="CO80" s="388" t="s">
        <v>458</v>
      </c>
      <c r="CP80" s="388" t="s">
        <v>459</v>
      </c>
      <c r="CQ80" s="388" t="s">
        <v>458</v>
      </c>
      <c r="CR80" s="374" t="s">
        <v>459</v>
      </c>
      <c r="CS80" s="374" t="s">
        <v>459</v>
      </c>
      <c r="CT80" s="374" t="s">
        <v>459</v>
      </c>
      <c r="CU80" s="387"/>
      <c r="CV80" s="388" t="s">
        <v>458</v>
      </c>
      <c r="CW80" s="388" t="s">
        <v>458</v>
      </c>
      <c r="CX80" s="388" t="s">
        <v>458</v>
      </c>
      <c r="CY80" s="388" t="s">
        <v>458</v>
      </c>
      <c r="CZ80" s="388" t="s">
        <v>458</v>
      </c>
      <c r="DA80" s="388" t="s">
        <v>458</v>
      </c>
      <c r="DB80" s="388" t="s">
        <v>458</v>
      </c>
      <c r="DC80" s="388" t="s">
        <v>458</v>
      </c>
      <c r="DD80" s="398" t="s">
        <v>459</v>
      </c>
      <c r="DE80" s="388" t="s">
        <v>458</v>
      </c>
      <c r="DF80" s="398" t="s">
        <v>459</v>
      </c>
      <c r="DG80" s="398" t="s">
        <v>459</v>
      </c>
      <c r="DH80" s="399" t="s">
        <v>459</v>
      </c>
    </row>
    <row r="81" spans="1:112" ht="89.25">
      <c r="A81" s="708" t="s">
        <v>41</v>
      </c>
      <c r="B81" s="354" t="s">
        <v>461</v>
      </c>
      <c r="C81" s="354" t="s">
        <v>461</v>
      </c>
      <c r="D81" s="354" t="s">
        <v>461</v>
      </c>
      <c r="E81" s="354" t="s">
        <v>461</v>
      </c>
      <c r="F81" s="354" t="s">
        <v>461</v>
      </c>
      <c r="G81" s="354" t="s">
        <v>461</v>
      </c>
      <c r="H81" s="354" t="s">
        <v>461</v>
      </c>
      <c r="I81" s="354" t="s">
        <v>461</v>
      </c>
      <c r="J81" s="358" t="s">
        <v>98</v>
      </c>
      <c r="K81" s="358" t="s">
        <v>98</v>
      </c>
      <c r="L81" s="358" t="s">
        <v>98</v>
      </c>
      <c r="M81" s="358" t="s">
        <v>98</v>
      </c>
      <c r="N81" s="358" t="s">
        <v>98</v>
      </c>
      <c r="P81" s="354" t="s">
        <v>461</v>
      </c>
      <c r="Q81" s="354" t="s">
        <v>461</v>
      </c>
      <c r="R81" s="354" t="s">
        <v>461</v>
      </c>
      <c r="S81" s="354" t="s">
        <v>461</v>
      </c>
      <c r="T81" s="350" t="s">
        <v>505</v>
      </c>
      <c r="U81" s="353" t="s">
        <v>506</v>
      </c>
      <c r="V81" s="350" t="s">
        <v>507</v>
      </c>
      <c r="W81" s="353" t="s">
        <v>508</v>
      </c>
      <c r="X81" s="362" t="s">
        <v>459</v>
      </c>
      <c r="Y81" s="350" t="s">
        <v>509</v>
      </c>
      <c r="Z81" s="370" t="s">
        <v>459</v>
      </c>
      <c r="AA81" s="370" t="s">
        <v>459</v>
      </c>
      <c r="AB81" s="370" t="s">
        <v>459</v>
      </c>
      <c r="AD81" s="354" t="s">
        <v>461</v>
      </c>
      <c r="AE81" s="354" t="s">
        <v>461</v>
      </c>
      <c r="AF81" s="354" t="s">
        <v>461</v>
      </c>
      <c r="AG81" s="354" t="s">
        <v>461</v>
      </c>
      <c r="AH81" s="354" t="s">
        <v>461</v>
      </c>
      <c r="AI81" s="354" t="s">
        <v>461</v>
      </c>
      <c r="AJ81" s="354" t="s">
        <v>461</v>
      </c>
      <c r="AK81" s="354" t="s">
        <v>461</v>
      </c>
      <c r="AL81" s="358" t="s">
        <v>98</v>
      </c>
      <c r="AM81" s="358" t="s">
        <v>98</v>
      </c>
      <c r="AN81" s="358" t="s">
        <v>98</v>
      </c>
      <c r="AO81" s="358" t="s">
        <v>98</v>
      </c>
      <c r="AP81" s="358" t="s">
        <v>98</v>
      </c>
      <c r="AQ81" s="26"/>
      <c r="AR81" s="388" t="s">
        <v>458</v>
      </c>
      <c r="AS81" s="388" t="s">
        <v>458</v>
      </c>
      <c r="AT81" s="388" t="s">
        <v>458</v>
      </c>
      <c r="AU81" s="388" t="s">
        <v>458</v>
      </c>
      <c r="AV81" s="388" t="s">
        <v>458</v>
      </c>
      <c r="AW81" s="388" t="s">
        <v>458</v>
      </c>
      <c r="AX81" s="388" t="s">
        <v>458</v>
      </c>
      <c r="AY81" s="388" t="s">
        <v>458</v>
      </c>
      <c r="AZ81" s="374" t="s">
        <v>459</v>
      </c>
      <c r="BA81" s="374" t="s">
        <v>458</v>
      </c>
      <c r="BB81" s="411" t="s">
        <v>471</v>
      </c>
      <c r="BC81" s="374" t="s">
        <v>459</v>
      </c>
      <c r="BD81" s="374" t="s">
        <v>459</v>
      </c>
      <c r="BE81" s="26"/>
      <c r="BF81" s="388" t="s">
        <v>458</v>
      </c>
      <c r="BG81" s="388" t="s">
        <v>458</v>
      </c>
      <c r="BH81" s="388" t="s">
        <v>458</v>
      </c>
      <c r="BI81" s="388" t="s">
        <v>458</v>
      </c>
      <c r="BJ81" s="388" t="s">
        <v>458</v>
      </c>
      <c r="BK81" s="388" t="s">
        <v>458</v>
      </c>
      <c r="BL81" s="388" t="s">
        <v>458</v>
      </c>
      <c r="BM81" s="388" t="s">
        <v>458</v>
      </c>
      <c r="BN81" s="388" t="s">
        <v>458</v>
      </c>
      <c r="BO81" s="388" t="s">
        <v>458</v>
      </c>
      <c r="BP81" s="374" t="s">
        <v>459</v>
      </c>
      <c r="BQ81" s="374" t="s">
        <v>459</v>
      </c>
      <c r="BR81" s="374" t="s">
        <v>459</v>
      </c>
      <c r="BS81" s="26"/>
      <c r="BT81" s="354" t="s">
        <v>461</v>
      </c>
      <c r="BU81" s="354" t="s">
        <v>461</v>
      </c>
      <c r="BV81" s="354" t="s">
        <v>461</v>
      </c>
      <c r="BW81" s="354" t="s">
        <v>461</v>
      </c>
      <c r="BX81" s="354" t="s">
        <v>461</v>
      </c>
      <c r="BY81" s="354" t="s">
        <v>461</v>
      </c>
      <c r="BZ81" s="354" t="s">
        <v>461</v>
      </c>
      <c r="CA81" s="354" t="s">
        <v>461</v>
      </c>
      <c r="CB81" s="358" t="s">
        <v>98</v>
      </c>
      <c r="CC81" s="358" t="s">
        <v>98</v>
      </c>
      <c r="CD81" s="358" t="s">
        <v>98</v>
      </c>
      <c r="CE81" s="358" t="s">
        <v>98</v>
      </c>
      <c r="CF81" s="358" t="s">
        <v>98</v>
      </c>
      <c r="CG81" s="26"/>
      <c r="CH81" s="388" t="s">
        <v>458</v>
      </c>
      <c r="CI81" s="388" t="s">
        <v>458</v>
      </c>
      <c r="CJ81" s="388" t="s">
        <v>458</v>
      </c>
      <c r="CK81" s="388" t="s">
        <v>458</v>
      </c>
      <c r="CL81" s="388" t="s">
        <v>458</v>
      </c>
      <c r="CM81" s="388" t="s">
        <v>458</v>
      </c>
      <c r="CN81" s="388" t="s">
        <v>458</v>
      </c>
      <c r="CO81" s="388" t="s">
        <v>458</v>
      </c>
      <c r="CP81" s="388" t="s">
        <v>459</v>
      </c>
      <c r="CQ81" s="388" t="s">
        <v>458</v>
      </c>
      <c r="CR81" s="374" t="s">
        <v>459</v>
      </c>
      <c r="CS81" s="374" t="s">
        <v>459</v>
      </c>
      <c r="CT81" s="374" t="s">
        <v>459</v>
      </c>
      <c r="CU81" s="26"/>
      <c r="CV81" s="388" t="s">
        <v>458</v>
      </c>
      <c r="CW81" s="388" t="s">
        <v>458</v>
      </c>
      <c r="CX81" s="388" t="s">
        <v>458</v>
      </c>
      <c r="CY81" s="388" t="s">
        <v>458</v>
      </c>
      <c r="CZ81" s="388" t="s">
        <v>458</v>
      </c>
      <c r="DA81" s="388" t="s">
        <v>458</v>
      </c>
      <c r="DB81" s="388" t="s">
        <v>458</v>
      </c>
      <c r="DC81" s="388" t="s">
        <v>458</v>
      </c>
      <c r="DD81" s="398" t="s">
        <v>459</v>
      </c>
      <c r="DE81" s="388" t="s">
        <v>458</v>
      </c>
      <c r="DF81" s="398" t="s">
        <v>459</v>
      </c>
      <c r="DG81" s="398" t="s">
        <v>459</v>
      </c>
      <c r="DH81" s="399" t="s">
        <v>459</v>
      </c>
    </row>
    <row r="82" spans="1:112" ht="89.25">
      <c r="A82" s="708" t="s">
        <v>42</v>
      </c>
      <c r="B82" s="354" t="s">
        <v>461</v>
      </c>
      <c r="C82" s="354" t="s">
        <v>461</v>
      </c>
      <c r="D82" s="354" t="s">
        <v>461</v>
      </c>
      <c r="E82" s="354" t="s">
        <v>461</v>
      </c>
      <c r="F82" s="354" t="s">
        <v>461</v>
      </c>
      <c r="G82" s="354" t="s">
        <v>461</v>
      </c>
      <c r="H82" s="354" t="s">
        <v>461</v>
      </c>
      <c r="I82" s="354" t="s">
        <v>461</v>
      </c>
      <c r="J82" s="358" t="s">
        <v>98</v>
      </c>
      <c r="K82" s="358" t="s">
        <v>98</v>
      </c>
      <c r="L82" s="358" t="s">
        <v>98</v>
      </c>
      <c r="M82" s="358" t="s">
        <v>98</v>
      </c>
      <c r="N82" s="358" t="s">
        <v>98</v>
      </c>
      <c r="P82" s="354" t="s">
        <v>461</v>
      </c>
      <c r="Q82" s="354" t="s">
        <v>461</v>
      </c>
      <c r="R82" s="354" t="s">
        <v>461</v>
      </c>
      <c r="S82" s="354" t="s">
        <v>461</v>
      </c>
      <c r="T82" s="351" t="s">
        <v>458</v>
      </c>
      <c r="U82" s="352" t="s">
        <v>458</v>
      </c>
      <c r="V82" s="351" t="s">
        <v>458</v>
      </c>
      <c r="W82" s="352" t="s">
        <v>458</v>
      </c>
      <c r="X82" s="362" t="s">
        <v>459</v>
      </c>
      <c r="Y82" s="351" t="s">
        <v>458</v>
      </c>
      <c r="Z82" s="370" t="s">
        <v>459</v>
      </c>
      <c r="AA82" s="370" t="s">
        <v>459</v>
      </c>
      <c r="AB82" s="370" t="s">
        <v>459</v>
      </c>
      <c r="AD82" s="354" t="s">
        <v>461</v>
      </c>
      <c r="AE82" s="354" t="s">
        <v>461</v>
      </c>
      <c r="AF82" s="354" t="s">
        <v>461</v>
      </c>
      <c r="AG82" s="354" t="s">
        <v>461</v>
      </c>
      <c r="AH82" s="354" t="s">
        <v>461</v>
      </c>
      <c r="AI82" s="354" t="s">
        <v>461</v>
      </c>
      <c r="AJ82" s="354" t="s">
        <v>461</v>
      </c>
      <c r="AK82" s="354" t="s">
        <v>461</v>
      </c>
      <c r="AL82" s="358" t="s">
        <v>98</v>
      </c>
      <c r="AM82" s="358" t="s">
        <v>98</v>
      </c>
      <c r="AN82" s="358" t="s">
        <v>98</v>
      </c>
      <c r="AO82" s="358" t="s">
        <v>98</v>
      </c>
      <c r="AP82" s="358" t="s">
        <v>98</v>
      </c>
      <c r="AQ82" s="26"/>
      <c r="AR82" s="388" t="s">
        <v>458</v>
      </c>
      <c r="AS82" s="388" t="s">
        <v>458</v>
      </c>
      <c r="AT82" s="388" t="s">
        <v>458</v>
      </c>
      <c r="AU82" s="388" t="s">
        <v>458</v>
      </c>
      <c r="AV82" s="388" t="s">
        <v>458</v>
      </c>
      <c r="AW82" s="388" t="s">
        <v>458</v>
      </c>
      <c r="AX82" s="388" t="s">
        <v>458</v>
      </c>
      <c r="AY82" s="388" t="s">
        <v>458</v>
      </c>
      <c r="AZ82" s="374" t="s">
        <v>459</v>
      </c>
      <c r="BA82" s="374" t="s">
        <v>458</v>
      </c>
      <c r="BB82" s="411" t="s">
        <v>471</v>
      </c>
      <c r="BC82" s="374" t="s">
        <v>459</v>
      </c>
      <c r="BD82" s="374" t="s">
        <v>459</v>
      </c>
      <c r="BE82" s="26"/>
      <c r="BF82" s="388" t="s">
        <v>458</v>
      </c>
      <c r="BG82" s="388" t="s">
        <v>458</v>
      </c>
      <c r="BH82" s="388" t="s">
        <v>458</v>
      </c>
      <c r="BI82" s="388" t="s">
        <v>458</v>
      </c>
      <c r="BJ82" s="388" t="s">
        <v>458</v>
      </c>
      <c r="BK82" s="388" t="s">
        <v>458</v>
      </c>
      <c r="BL82" s="388" t="s">
        <v>458</v>
      </c>
      <c r="BM82" s="388" t="s">
        <v>458</v>
      </c>
      <c r="BN82" s="388" t="s">
        <v>458</v>
      </c>
      <c r="BO82" s="388" t="s">
        <v>458</v>
      </c>
      <c r="BP82" s="374" t="s">
        <v>459</v>
      </c>
      <c r="BQ82" s="374" t="s">
        <v>459</v>
      </c>
      <c r="BR82" s="374" t="s">
        <v>459</v>
      </c>
      <c r="BS82" s="26"/>
      <c r="BT82" s="354" t="s">
        <v>461</v>
      </c>
      <c r="BU82" s="354" t="s">
        <v>461</v>
      </c>
      <c r="BV82" s="354" t="s">
        <v>461</v>
      </c>
      <c r="BW82" s="354" t="s">
        <v>461</v>
      </c>
      <c r="BX82" s="354" t="s">
        <v>461</v>
      </c>
      <c r="BY82" s="354" t="s">
        <v>461</v>
      </c>
      <c r="BZ82" s="354" t="s">
        <v>461</v>
      </c>
      <c r="CA82" s="354" t="s">
        <v>461</v>
      </c>
      <c r="CB82" s="358" t="s">
        <v>98</v>
      </c>
      <c r="CC82" s="358" t="s">
        <v>98</v>
      </c>
      <c r="CD82" s="358" t="s">
        <v>98</v>
      </c>
      <c r="CE82" s="358" t="s">
        <v>98</v>
      </c>
      <c r="CF82" s="358" t="s">
        <v>98</v>
      </c>
      <c r="CG82" s="26"/>
      <c r="CH82" s="388" t="s">
        <v>458</v>
      </c>
      <c r="CI82" s="388" t="s">
        <v>458</v>
      </c>
      <c r="CJ82" s="388" t="s">
        <v>458</v>
      </c>
      <c r="CK82" s="388" t="s">
        <v>458</v>
      </c>
      <c r="CL82" s="388" t="s">
        <v>458</v>
      </c>
      <c r="CM82" s="388" t="s">
        <v>458</v>
      </c>
      <c r="CN82" s="388" t="s">
        <v>458</v>
      </c>
      <c r="CO82" s="388" t="s">
        <v>458</v>
      </c>
      <c r="CP82" s="388" t="s">
        <v>459</v>
      </c>
      <c r="CQ82" s="388" t="s">
        <v>458</v>
      </c>
      <c r="CR82" s="374" t="s">
        <v>459</v>
      </c>
      <c r="CS82" s="374" t="s">
        <v>459</v>
      </c>
      <c r="CT82" s="374" t="s">
        <v>459</v>
      </c>
      <c r="CU82" s="26"/>
      <c r="CV82" s="388" t="s">
        <v>458</v>
      </c>
      <c r="CW82" s="388" t="s">
        <v>458</v>
      </c>
      <c r="CX82" s="388" t="s">
        <v>458</v>
      </c>
      <c r="CY82" s="388" t="s">
        <v>458</v>
      </c>
      <c r="CZ82" s="388" t="s">
        <v>458</v>
      </c>
      <c r="DA82" s="388" t="s">
        <v>458</v>
      </c>
      <c r="DB82" s="388" t="s">
        <v>458</v>
      </c>
      <c r="DC82" s="388" t="s">
        <v>458</v>
      </c>
      <c r="DD82" s="398" t="s">
        <v>459</v>
      </c>
      <c r="DE82" s="388" t="s">
        <v>458</v>
      </c>
      <c r="DF82" s="398" t="s">
        <v>459</v>
      </c>
      <c r="DG82" s="398" t="s">
        <v>459</v>
      </c>
      <c r="DH82" s="399" t="s">
        <v>459</v>
      </c>
    </row>
    <row r="83" spans="1:112" ht="89.25">
      <c r="A83" s="708" t="s">
        <v>43</v>
      </c>
      <c r="B83" s="354" t="s">
        <v>461</v>
      </c>
      <c r="C83" s="354" t="s">
        <v>461</v>
      </c>
      <c r="D83" s="354" t="s">
        <v>461</v>
      </c>
      <c r="E83" s="354" t="s">
        <v>461</v>
      </c>
      <c r="F83" s="354" t="s">
        <v>461</v>
      </c>
      <c r="G83" s="354" t="s">
        <v>461</v>
      </c>
      <c r="H83" s="354" t="s">
        <v>461</v>
      </c>
      <c r="I83" s="354" t="s">
        <v>461</v>
      </c>
      <c r="J83" s="358" t="s">
        <v>98</v>
      </c>
      <c r="K83" s="358" t="s">
        <v>98</v>
      </c>
      <c r="L83" s="358" t="s">
        <v>98</v>
      </c>
      <c r="M83" s="358" t="s">
        <v>98</v>
      </c>
      <c r="N83" s="358" t="s">
        <v>98</v>
      </c>
      <c r="P83" s="354" t="s">
        <v>461</v>
      </c>
      <c r="Q83" s="354" t="s">
        <v>461</v>
      </c>
      <c r="R83" s="354" t="s">
        <v>461</v>
      </c>
      <c r="S83" s="354" t="s">
        <v>461</v>
      </c>
      <c r="T83" s="351" t="s">
        <v>458</v>
      </c>
      <c r="U83" s="352" t="s">
        <v>458</v>
      </c>
      <c r="V83" s="351" t="s">
        <v>458</v>
      </c>
      <c r="W83" s="352" t="s">
        <v>458</v>
      </c>
      <c r="X83" s="362" t="s">
        <v>459</v>
      </c>
      <c r="Y83" s="351" t="s">
        <v>458</v>
      </c>
      <c r="Z83" s="370" t="s">
        <v>459</v>
      </c>
      <c r="AA83" s="370" t="s">
        <v>459</v>
      </c>
      <c r="AB83" s="370" t="s">
        <v>459</v>
      </c>
      <c r="AD83" s="354" t="s">
        <v>461</v>
      </c>
      <c r="AE83" s="354" t="s">
        <v>461</v>
      </c>
      <c r="AF83" s="354" t="s">
        <v>461</v>
      </c>
      <c r="AG83" s="354" t="s">
        <v>461</v>
      </c>
      <c r="AH83" s="354" t="s">
        <v>461</v>
      </c>
      <c r="AI83" s="354" t="s">
        <v>461</v>
      </c>
      <c r="AJ83" s="354" t="s">
        <v>461</v>
      </c>
      <c r="AK83" s="354" t="s">
        <v>461</v>
      </c>
      <c r="AL83" s="358" t="s">
        <v>98</v>
      </c>
      <c r="AM83" s="358" t="s">
        <v>98</v>
      </c>
      <c r="AN83" s="358" t="s">
        <v>98</v>
      </c>
      <c r="AO83" s="358" t="s">
        <v>98</v>
      </c>
      <c r="AP83" s="358" t="s">
        <v>98</v>
      </c>
      <c r="AQ83" s="26"/>
      <c r="AR83" s="388" t="s">
        <v>458</v>
      </c>
      <c r="AS83" s="388" t="s">
        <v>458</v>
      </c>
      <c r="AT83" s="388" t="s">
        <v>458</v>
      </c>
      <c r="AU83" s="388" t="s">
        <v>458</v>
      </c>
      <c r="AV83" s="388" t="s">
        <v>458</v>
      </c>
      <c r="AW83" s="388" t="s">
        <v>458</v>
      </c>
      <c r="AX83" s="388" t="s">
        <v>458</v>
      </c>
      <c r="AY83" s="388" t="s">
        <v>458</v>
      </c>
      <c r="AZ83" s="374" t="s">
        <v>459</v>
      </c>
      <c r="BA83" s="374" t="s">
        <v>458</v>
      </c>
      <c r="BB83" s="411" t="s">
        <v>471</v>
      </c>
      <c r="BC83" s="374" t="s">
        <v>459</v>
      </c>
      <c r="BD83" s="374" t="s">
        <v>459</v>
      </c>
      <c r="BE83" s="26"/>
      <c r="BF83" s="388" t="s">
        <v>458</v>
      </c>
      <c r="BG83" s="388" t="s">
        <v>458</v>
      </c>
      <c r="BH83" s="388" t="s">
        <v>458</v>
      </c>
      <c r="BI83" s="388" t="s">
        <v>458</v>
      </c>
      <c r="BJ83" s="388" t="s">
        <v>458</v>
      </c>
      <c r="BK83" s="388" t="s">
        <v>458</v>
      </c>
      <c r="BL83" s="388" t="s">
        <v>458</v>
      </c>
      <c r="BM83" s="388" t="s">
        <v>458</v>
      </c>
      <c r="BN83" s="388" t="s">
        <v>458</v>
      </c>
      <c r="BO83" s="388" t="s">
        <v>458</v>
      </c>
      <c r="BP83" s="374" t="s">
        <v>459</v>
      </c>
      <c r="BQ83" s="374" t="s">
        <v>459</v>
      </c>
      <c r="BR83" s="374" t="s">
        <v>459</v>
      </c>
      <c r="BS83" s="26"/>
      <c r="BT83" s="354" t="s">
        <v>461</v>
      </c>
      <c r="BU83" s="354" t="s">
        <v>461</v>
      </c>
      <c r="BV83" s="354" t="s">
        <v>461</v>
      </c>
      <c r="BW83" s="354" t="s">
        <v>461</v>
      </c>
      <c r="BX83" s="354" t="s">
        <v>461</v>
      </c>
      <c r="BY83" s="354" t="s">
        <v>461</v>
      </c>
      <c r="BZ83" s="354" t="s">
        <v>461</v>
      </c>
      <c r="CA83" s="354" t="s">
        <v>461</v>
      </c>
      <c r="CB83" s="358" t="s">
        <v>98</v>
      </c>
      <c r="CC83" s="358" t="s">
        <v>98</v>
      </c>
      <c r="CD83" s="358" t="s">
        <v>98</v>
      </c>
      <c r="CE83" s="358" t="s">
        <v>98</v>
      </c>
      <c r="CF83" s="358" t="s">
        <v>98</v>
      </c>
      <c r="CG83" s="26"/>
      <c r="CH83" s="388" t="s">
        <v>458</v>
      </c>
      <c r="CI83" s="388" t="s">
        <v>458</v>
      </c>
      <c r="CJ83" s="388" t="s">
        <v>458</v>
      </c>
      <c r="CK83" s="388" t="s">
        <v>458</v>
      </c>
      <c r="CL83" s="388" t="s">
        <v>458</v>
      </c>
      <c r="CM83" s="388" t="s">
        <v>458</v>
      </c>
      <c r="CN83" s="388" t="s">
        <v>458</v>
      </c>
      <c r="CO83" s="388" t="s">
        <v>458</v>
      </c>
      <c r="CP83" s="388" t="s">
        <v>459</v>
      </c>
      <c r="CQ83" s="388" t="s">
        <v>458</v>
      </c>
      <c r="CR83" s="374" t="s">
        <v>459</v>
      </c>
      <c r="CS83" s="374" t="s">
        <v>459</v>
      </c>
      <c r="CT83" s="374" t="s">
        <v>459</v>
      </c>
      <c r="CU83" s="26"/>
      <c r="CV83" s="388" t="s">
        <v>458</v>
      </c>
      <c r="CW83" s="388" t="s">
        <v>458</v>
      </c>
      <c r="CX83" s="388" t="s">
        <v>458</v>
      </c>
      <c r="CY83" s="388" t="s">
        <v>458</v>
      </c>
      <c r="CZ83" s="388" t="s">
        <v>458</v>
      </c>
      <c r="DA83" s="388" t="s">
        <v>458</v>
      </c>
      <c r="DB83" s="388" t="s">
        <v>458</v>
      </c>
      <c r="DC83" s="388" t="s">
        <v>458</v>
      </c>
      <c r="DD83" s="398" t="s">
        <v>459</v>
      </c>
      <c r="DE83" s="388" t="s">
        <v>458</v>
      </c>
      <c r="DF83" s="398" t="s">
        <v>459</v>
      </c>
      <c r="DG83" s="398" t="s">
        <v>459</v>
      </c>
      <c r="DH83" s="399" t="s">
        <v>459</v>
      </c>
    </row>
    <row r="84" spans="1:112" ht="89.25">
      <c r="A84" s="708" t="s">
        <v>44</v>
      </c>
      <c r="B84" s="354" t="s">
        <v>461</v>
      </c>
      <c r="C84" s="354" t="s">
        <v>461</v>
      </c>
      <c r="D84" s="354" t="s">
        <v>461</v>
      </c>
      <c r="E84" s="354" t="s">
        <v>461</v>
      </c>
      <c r="F84" s="354" t="s">
        <v>461</v>
      </c>
      <c r="G84" s="354" t="s">
        <v>461</v>
      </c>
      <c r="H84" s="354" t="s">
        <v>461</v>
      </c>
      <c r="I84" s="354" t="s">
        <v>461</v>
      </c>
      <c r="J84" s="358" t="s">
        <v>98</v>
      </c>
      <c r="K84" s="358" t="s">
        <v>98</v>
      </c>
      <c r="L84" s="358" t="s">
        <v>98</v>
      </c>
      <c r="M84" s="358" t="s">
        <v>98</v>
      </c>
      <c r="N84" s="358" t="s">
        <v>98</v>
      </c>
      <c r="P84" s="354" t="s">
        <v>461</v>
      </c>
      <c r="Q84" s="354" t="s">
        <v>461</v>
      </c>
      <c r="R84" s="354" t="s">
        <v>461</v>
      </c>
      <c r="S84" s="354" t="s">
        <v>461</v>
      </c>
      <c r="T84" s="354" t="s">
        <v>461</v>
      </c>
      <c r="U84" s="354" t="s">
        <v>461</v>
      </c>
      <c r="V84" s="373" t="s">
        <v>470</v>
      </c>
      <c r="W84" s="358" t="s">
        <v>98</v>
      </c>
      <c r="X84" s="367" t="s">
        <v>98</v>
      </c>
      <c r="Y84" s="358" t="s">
        <v>98</v>
      </c>
      <c r="Z84" s="358" t="s">
        <v>98</v>
      </c>
      <c r="AA84" s="358" t="s">
        <v>98</v>
      </c>
      <c r="AB84" s="358" t="s">
        <v>98</v>
      </c>
      <c r="AD84" s="354" t="s">
        <v>461</v>
      </c>
      <c r="AE84" s="354" t="s">
        <v>461</v>
      </c>
      <c r="AF84" s="354" t="s">
        <v>461</v>
      </c>
      <c r="AG84" s="354" t="s">
        <v>461</v>
      </c>
      <c r="AH84" s="354" t="s">
        <v>461</v>
      </c>
      <c r="AI84" s="354" t="s">
        <v>461</v>
      </c>
      <c r="AJ84" s="354" t="s">
        <v>461</v>
      </c>
      <c r="AK84" s="354" t="s">
        <v>461</v>
      </c>
      <c r="AL84" s="410" t="s">
        <v>125</v>
      </c>
      <c r="AM84" s="410" t="s">
        <v>125</v>
      </c>
      <c r="AN84" s="410" t="s">
        <v>125</v>
      </c>
      <c r="AO84" s="410" t="s">
        <v>125</v>
      </c>
      <c r="AP84" s="358" t="s">
        <v>98</v>
      </c>
      <c r="AQ84" s="26"/>
      <c r="AR84" s="411" t="s">
        <v>566</v>
      </c>
      <c r="AS84" s="358" t="s">
        <v>98</v>
      </c>
      <c r="AT84" s="358" t="s">
        <v>98</v>
      </c>
      <c r="AU84" s="358" t="s">
        <v>98</v>
      </c>
      <c r="AV84" s="358" t="s">
        <v>98</v>
      </c>
      <c r="AW84" s="358" t="s">
        <v>98</v>
      </c>
      <c r="AX84" s="358" t="s">
        <v>98</v>
      </c>
      <c r="AY84" s="358" t="s">
        <v>98</v>
      </c>
      <c r="AZ84" s="358" t="s">
        <v>98</v>
      </c>
      <c r="BA84" s="358" t="s">
        <v>98</v>
      </c>
      <c r="BB84" s="358" t="s">
        <v>98</v>
      </c>
      <c r="BC84" s="358" t="s">
        <v>98</v>
      </c>
      <c r="BD84" s="358" t="s">
        <v>98</v>
      </c>
      <c r="BE84" s="26"/>
      <c r="BF84" s="388" t="s">
        <v>458</v>
      </c>
      <c r="BG84" s="388" t="s">
        <v>458</v>
      </c>
      <c r="BH84" s="388" t="s">
        <v>458</v>
      </c>
      <c r="BI84" s="388" t="s">
        <v>458</v>
      </c>
      <c r="BJ84" s="388" t="s">
        <v>458</v>
      </c>
      <c r="BK84" s="388" t="s">
        <v>458</v>
      </c>
      <c r="BL84" s="388" t="s">
        <v>458</v>
      </c>
      <c r="BM84" s="388" t="s">
        <v>458</v>
      </c>
      <c r="BN84" s="388" t="s">
        <v>458</v>
      </c>
      <c r="BO84" s="388" t="s">
        <v>458</v>
      </c>
      <c r="BP84" s="374" t="s">
        <v>459</v>
      </c>
      <c r="BQ84" s="374" t="s">
        <v>459</v>
      </c>
      <c r="BR84" s="374" t="s">
        <v>459</v>
      </c>
      <c r="BS84" s="26"/>
      <c r="BT84" s="354" t="s">
        <v>461</v>
      </c>
      <c r="BU84" s="354" t="s">
        <v>461</v>
      </c>
      <c r="BV84" s="354" t="s">
        <v>461</v>
      </c>
      <c r="BW84" s="354" t="s">
        <v>461</v>
      </c>
      <c r="BX84" s="354" t="s">
        <v>461</v>
      </c>
      <c r="BY84" s="354" t="s">
        <v>461</v>
      </c>
      <c r="BZ84" s="354" t="s">
        <v>461</v>
      </c>
      <c r="CA84" s="354" t="s">
        <v>461</v>
      </c>
      <c r="CB84" s="358" t="s">
        <v>98</v>
      </c>
      <c r="CC84" s="358" t="s">
        <v>98</v>
      </c>
      <c r="CD84" s="358" t="s">
        <v>98</v>
      </c>
      <c r="CE84" s="358" t="s">
        <v>98</v>
      </c>
      <c r="CF84" s="358" t="s">
        <v>98</v>
      </c>
      <c r="CG84" s="26"/>
      <c r="CH84" s="388" t="s">
        <v>458</v>
      </c>
      <c r="CI84" s="388" t="s">
        <v>458</v>
      </c>
      <c r="CJ84" s="388" t="s">
        <v>458</v>
      </c>
      <c r="CK84" s="388" t="s">
        <v>458</v>
      </c>
      <c r="CL84" s="388" t="s">
        <v>458</v>
      </c>
      <c r="CM84" s="388" t="s">
        <v>458</v>
      </c>
      <c r="CN84" s="388" t="s">
        <v>458</v>
      </c>
      <c r="CO84" s="388" t="s">
        <v>458</v>
      </c>
      <c r="CP84" s="388" t="s">
        <v>459</v>
      </c>
      <c r="CQ84" s="388" t="s">
        <v>458</v>
      </c>
      <c r="CR84" s="374" t="s">
        <v>459</v>
      </c>
      <c r="CS84" s="374" t="s">
        <v>459</v>
      </c>
      <c r="CT84" s="374" t="s">
        <v>459</v>
      </c>
      <c r="CU84" s="26"/>
      <c r="CV84" s="388" t="s">
        <v>458</v>
      </c>
      <c r="CW84" s="388" t="s">
        <v>458</v>
      </c>
      <c r="CX84" s="388" t="s">
        <v>458</v>
      </c>
      <c r="CY84" s="388" t="s">
        <v>458</v>
      </c>
      <c r="CZ84" s="388" t="s">
        <v>458</v>
      </c>
      <c r="DA84" s="388" t="s">
        <v>458</v>
      </c>
      <c r="DB84" s="388" t="s">
        <v>458</v>
      </c>
      <c r="DC84" s="388" t="s">
        <v>458</v>
      </c>
      <c r="DD84" s="398" t="s">
        <v>459</v>
      </c>
      <c r="DE84" s="388" t="s">
        <v>458</v>
      </c>
      <c r="DF84" s="398" t="s">
        <v>459</v>
      </c>
      <c r="DG84" s="398" t="s">
        <v>459</v>
      </c>
      <c r="DH84" s="399" t="s">
        <v>459</v>
      </c>
    </row>
    <row r="85" spans="1:112" ht="89.25">
      <c r="A85" s="708" t="s">
        <v>45</v>
      </c>
      <c r="B85" s="354" t="s">
        <v>461</v>
      </c>
      <c r="C85" s="354" t="s">
        <v>461</v>
      </c>
      <c r="D85" s="354" t="s">
        <v>461</v>
      </c>
      <c r="E85" s="354" t="s">
        <v>461</v>
      </c>
      <c r="F85" s="354" t="s">
        <v>461</v>
      </c>
      <c r="G85" s="354" t="s">
        <v>461</v>
      </c>
      <c r="H85" s="354" t="s">
        <v>461</v>
      </c>
      <c r="I85" s="354" t="s">
        <v>461</v>
      </c>
      <c r="J85" s="358" t="s">
        <v>98</v>
      </c>
      <c r="K85" s="358" t="s">
        <v>98</v>
      </c>
      <c r="L85" s="358" t="s">
        <v>98</v>
      </c>
      <c r="M85" s="358" t="s">
        <v>98</v>
      </c>
      <c r="N85" s="358" t="s">
        <v>98</v>
      </c>
      <c r="P85" s="357" t="s">
        <v>461</v>
      </c>
      <c r="Q85" s="357" t="s">
        <v>461</v>
      </c>
      <c r="R85" s="357" t="s">
        <v>461</v>
      </c>
      <c r="S85" s="357" t="s">
        <v>461</v>
      </c>
      <c r="T85" s="357" t="s">
        <v>458</v>
      </c>
      <c r="U85" s="357" t="s">
        <v>458</v>
      </c>
      <c r="V85" s="351" t="s">
        <v>458</v>
      </c>
      <c r="W85" s="352" t="s">
        <v>458</v>
      </c>
      <c r="X85" s="362" t="s">
        <v>459</v>
      </c>
      <c r="Y85" s="351" t="s">
        <v>458</v>
      </c>
      <c r="Z85" s="370" t="s">
        <v>459</v>
      </c>
      <c r="AA85" s="370" t="s">
        <v>459</v>
      </c>
      <c r="AB85" s="370" t="s">
        <v>459</v>
      </c>
      <c r="AD85" s="354" t="s">
        <v>461</v>
      </c>
      <c r="AE85" s="354" t="s">
        <v>461</v>
      </c>
      <c r="AF85" s="354" t="s">
        <v>461</v>
      </c>
      <c r="AG85" s="354" t="s">
        <v>461</v>
      </c>
      <c r="AH85" s="354" t="s">
        <v>461</v>
      </c>
      <c r="AI85" s="354" t="s">
        <v>461</v>
      </c>
      <c r="AJ85" s="354" t="s">
        <v>461</v>
      </c>
      <c r="AK85" s="354" t="s">
        <v>461</v>
      </c>
      <c r="AL85" s="358" t="s">
        <v>98</v>
      </c>
      <c r="AM85" s="358" t="s">
        <v>98</v>
      </c>
      <c r="AN85" s="358" t="s">
        <v>98</v>
      </c>
      <c r="AO85" s="358" t="s">
        <v>98</v>
      </c>
      <c r="AP85" s="358" t="s">
        <v>98</v>
      </c>
      <c r="AQ85" s="26"/>
      <c r="AR85" s="388" t="s">
        <v>458</v>
      </c>
      <c r="AS85" s="388" t="s">
        <v>458</v>
      </c>
      <c r="AT85" s="388" t="s">
        <v>458</v>
      </c>
      <c r="AU85" s="388" t="s">
        <v>458</v>
      </c>
      <c r="AV85" s="388" t="s">
        <v>458</v>
      </c>
      <c r="AW85" s="388" t="s">
        <v>458</v>
      </c>
      <c r="AX85" s="388" t="s">
        <v>458</v>
      </c>
      <c r="AY85" s="388" t="s">
        <v>458</v>
      </c>
      <c r="AZ85" s="374" t="s">
        <v>459</v>
      </c>
      <c r="BA85" s="374" t="s">
        <v>458</v>
      </c>
      <c r="BB85" s="411" t="s">
        <v>471</v>
      </c>
      <c r="BC85" s="374" t="s">
        <v>459</v>
      </c>
      <c r="BD85" s="374" t="s">
        <v>459</v>
      </c>
      <c r="BE85" s="26"/>
      <c r="BF85" s="388" t="s">
        <v>458</v>
      </c>
      <c r="BG85" s="388" t="s">
        <v>458</v>
      </c>
      <c r="BH85" s="388" t="s">
        <v>458</v>
      </c>
      <c r="BI85" s="388" t="s">
        <v>458</v>
      </c>
      <c r="BJ85" s="388" t="s">
        <v>458</v>
      </c>
      <c r="BK85" s="388" t="s">
        <v>458</v>
      </c>
      <c r="BL85" s="388" t="s">
        <v>458</v>
      </c>
      <c r="BM85" s="388" t="s">
        <v>458</v>
      </c>
      <c r="BN85" s="388" t="s">
        <v>458</v>
      </c>
      <c r="BO85" s="388" t="s">
        <v>458</v>
      </c>
      <c r="BP85" s="374" t="s">
        <v>459</v>
      </c>
      <c r="BQ85" s="374" t="s">
        <v>459</v>
      </c>
      <c r="BR85" s="374" t="s">
        <v>459</v>
      </c>
      <c r="BS85" s="26"/>
      <c r="BT85" s="354" t="s">
        <v>461</v>
      </c>
      <c r="BU85" s="354" t="s">
        <v>461</v>
      </c>
      <c r="BV85" s="354" t="s">
        <v>461</v>
      </c>
      <c r="BW85" s="354" t="s">
        <v>461</v>
      </c>
      <c r="BX85" s="354" t="s">
        <v>461</v>
      </c>
      <c r="BY85" s="354" t="s">
        <v>461</v>
      </c>
      <c r="BZ85" s="354" t="s">
        <v>461</v>
      </c>
      <c r="CA85" s="354" t="s">
        <v>461</v>
      </c>
      <c r="CB85" s="358" t="s">
        <v>98</v>
      </c>
      <c r="CC85" s="358" t="s">
        <v>98</v>
      </c>
      <c r="CD85" s="358" t="s">
        <v>98</v>
      </c>
      <c r="CE85" s="358" t="s">
        <v>98</v>
      </c>
      <c r="CF85" s="358" t="s">
        <v>98</v>
      </c>
      <c r="CG85" s="26"/>
      <c r="CH85" s="388" t="s">
        <v>458</v>
      </c>
      <c r="CI85" s="388" t="s">
        <v>458</v>
      </c>
      <c r="CJ85" s="388" t="s">
        <v>458</v>
      </c>
      <c r="CK85" s="388" t="s">
        <v>458</v>
      </c>
      <c r="CL85" s="388" t="s">
        <v>458</v>
      </c>
      <c r="CM85" s="388" t="s">
        <v>458</v>
      </c>
      <c r="CN85" s="388" t="s">
        <v>458</v>
      </c>
      <c r="CO85" s="388" t="s">
        <v>458</v>
      </c>
      <c r="CP85" s="388" t="s">
        <v>459</v>
      </c>
      <c r="CQ85" s="388" t="s">
        <v>458</v>
      </c>
      <c r="CR85" s="374" t="s">
        <v>459</v>
      </c>
      <c r="CS85" s="374" t="s">
        <v>459</v>
      </c>
      <c r="CT85" s="374" t="s">
        <v>459</v>
      </c>
      <c r="CU85" s="26"/>
      <c r="CV85" s="388" t="s">
        <v>458</v>
      </c>
      <c r="CW85" s="388" t="s">
        <v>458</v>
      </c>
      <c r="CX85" s="388" t="s">
        <v>458</v>
      </c>
      <c r="CY85" s="388" t="s">
        <v>458</v>
      </c>
      <c r="CZ85" s="388" t="s">
        <v>458</v>
      </c>
      <c r="DA85" s="388" t="s">
        <v>458</v>
      </c>
      <c r="DB85" s="388" t="s">
        <v>458</v>
      </c>
      <c r="DC85" s="388" t="s">
        <v>458</v>
      </c>
      <c r="DD85" s="398" t="s">
        <v>459</v>
      </c>
      <c r="DE85" s="388" t="s">
        <v>458</v>
      </c>
      <c r="DF85" s="398" t="s">
        <v>459</v>
      </c>
      <c r="DG85" s="398" t="s">
        <v>459</v>
      </c>
      <c r="DH85" s="399" t="s">
        <v>459</v>
      </c>
    </row>
    <row r="86" spans="1:112" ht="89.25">
      <c r="A86" s="708" t="s">
        <v>46</v>
      </c>
      <c r="B86" s="354" t="s">
        <v>461</v>
      </c>
      <c r="C86" s="354" t="s">
        <v>461</v>
      </c>
      <c r="D86" s="354" t="s">
        <v>461</v>
      </c>
      <c r="E86" s="354" t="s">
        <v>461</v>
      </c>
      <c r="F86" s="354" t="s">
        <v>461</v>
      </c>
      <c r="G86" s="354" t="s">
        <v>461</v>
      </c>
      <c r="H86" s="354" t="s">
        <v>461</v>
      </c>
      <c r="I86" s="354" t="s">
        <v>461</v>
      </c>
      <c r="J86" s="358" t="s">
        <v>98</v>
      </c>
      <c r="K86" s="358" t="s">
        <v>98</v>
      </c>
      <c r="L86" s="358" t="s">
        <v>98</v>
      </c>
      <c r="M86" s="358" t="s">
        <v>98</v>
      </c>
      <c r="N86" s="358" t="s">
        <v>98</v>
      </c>
      <c r="P86" s="354" t="s">
        <v>461</v>
      </c>
      <c r="Q86" s="354" t="s">
        <v>461</v>
      </c>
      <c r="R86" s="354" t="s">
        <v>461</v>
      </c>
      <c r="S86" s="354" t="s">
        <v>461</v>
      </c>
      <c r="T86" s="351" t="s">
        <v>458</v>
      </c>
      <c r="U86" s="352" t="s">
        <v>458</v>
      </c>
      <c r="V86" s="351" t="s">
        <v>458</v>
      </c>
      <c r="W86" s="352" t="s">
        <v>458</v>
      </c>
      <c r="X86" s="362" t="s">
        <v>459</v>
      </c>
      <c r="Y86" s="351" t="s">
        <v>458</v>
      </c>
      <c r="Z86" s="370" t="s">
        <v>459</v>
      </c>
      <c r="AA86" s="370" t="s">
        <v>459</v>
      </c>
      <c r="AB86" s="370" t="s">
        <v>459</v>
      </c>
      <c r="AD86" s="354" t="s">
        <v>461</v>
      </c>
      <c r="AE86" s="354" t="s">
        <v>461</v>
      </c>
      <c r="AF86" s="354" t="s">
        <v>461</v>
      </c>
      <c r="AG86" s="354" t="s">
        <v>461</v>
      </c>
      <c r="AH86" s="354" t="s">
        <v>461</v>
      </c>
      <c r="AI86" s="354" t="s">
        <v>461</v>
      </c>
      <c r="AJ86" s="354" t="s">
        <v>461</v>
      </c>
      <c r="AK86" s="354" t="s">
        <v>461</v>
      </c>
      <c r="AL86" s="358" t="s">
        <v>98</v>
      </c>
      <c r="AM86" s="358" t="s">
        <v>98</v>
      </c>
      <c r="AN86" s="358" t="s">
        <v>98</v>
      </c>
      <c r="AO86" s="358" t="s">
        <v>98</v>
      </c>
      <c r="AP86" s="358" t="s">
        <v>98</v>
      </c>
      <c r="AQ86" s="26"/>
      <c r="AR86" s="388" t="s">
        <v>458</v>
      </c>
      <c r="AS86" s="388" t="s">
        <v>458</v>
      </c>
      <c r="AT86" s="388" t="s">
        <v>458</v>
      </c>
      <c r="AU86" s="388" t="s">
        <v>458</v>
      </c>
      <c r="AV86" s="388" t="s">
        <v>458</v>
      </c>
      <c r="AW86" s="388" t="s">
        <v>458</v>
      </c>
      <c r="AX86" s="388" t="s">
        <v>458</v>
      </c>
      <c r="AY86" s="388" t="s">
        <v>458</v>
      </c>
      <c r="AZ86" s="374" t="s">
        <v>459</v>
      </c>
      <c r="BA86" s="374" t="s">
        <v>458</v>
      </c>
      <c r="BB86" s="411" t="s">
        <v>471</v>
      </c>
      <c r="BC86" s="374" t="s">
        <v>459</v>
      </c>
      <c r="BD86" s="374" t="s">
        <v>459</v>
      </c>
      <c r="BE86" s="26"/>
      <c r="BF86" s="388" t="s">
        <v>458</v>
      </c>
      <c r="BG86" s="388" t="s">
        <v>458</v>
      </c>
      <c r="BH86" s="388" t="s">
        <v>458</v>
      </c>
      <c r="BI86" s="388" t="s">
        <v>458</v>
      </c>
      <c r="BJ86" s="388" t="s">
        <v>458</v>
      </c>
      <c r="BK86" s="388" t="s">
        <v>458</v>
      </c>
      <c r="BL86" s="388" t="s">
        <v>458</v>
      </c>
      <c r="BM86" s="388" t="s">
        <v>458</v>
      </c>
      <c r="BN86" s="388" t="s">
        <v>458</v>
      </c>
      <c r="BO86" s="388" t="s">
        <v>458</v>
      </c>
      <c r="BP86" s="374" t="s">
        <v>459</v>
      </c>
      <c r="BQ86" s="374" t="s">
        <v>459</v>
      </c>
      <c r="BR86" s="374" t="s">
        <v>459</v>
      </c>
      <c r="BS86" s="26"/>
      <c r="BT86" s="354" t="s">
        <v>461</v>
      </c>
      <c r="BU86" s="354" t="s">
        <v>461</v>
      </c>
      <c r="BV86" s="354" t="s">
        <v>461</v>
      </c>
      <c r="BW86" s="354" t="s">
        <v>461</v>
      </c>
      <c r="BX86" s="354" t="s">
        <v>461</v>
      </c>
      <c r="BY86" s="354" t="s">
        <v>461</v>
      </c>
      <c r="BZ86" s="354" t="s">
        <v>461</v>
      </c>
      <c r="CA86" s="354" t="s">
        <v>461</v>
      </c>
      <c r="CB86" s="358" t="s">
        <v>98</v>
      </c>
      <c r="CC86" s="358" t="s">
        <v>98</v>
      </c>
      <c r="CD86" s="358" t="s">
        <v>98</v>
      </c>
      <c r="CE86" s="358" t="s">
        <v>98</v>
      </c>
      <c r="CF86" s="358" t="s">
        <v>98</v>
      </c>
      <c r="CG86" s="26"/>
      <c r="CH86" s="388" t="s">
        <v>458</v>
      </c>
      <c r="CI86" s="388" t="s">
        <v>458</v>
      </c>
      <c r="CJ86" s="388" t="s">
        <v>458</v>
      </c>
      <c r="CK86" s="388" t="s">
        <v>458</v>
      </c>
      <c r="CL86" s="388" t="s">
        <v>458</v>
      </c>
      <c r="CM86" s="388" t="s">
        <v>458</v>
      </c>
      <c r="CN86" s="388" t="s">
        <v>458</v>
      </c>
      <c r="CO86" s="388" t="s">
        <v>458</v>
      </c>
      <c r="CP86" s="388" t="s">
        <v>459</v>
      </c>
      <c r="CQ86" s="388" t="s">
        <v>458</v>
      </c>
      <c r="CR86" s="374" t="s">
        <v>459</v>
      </c>
      <c r="CS86" s="374" t="s">
        <v>459</v>
      </c>
      <c r="CT86" s="374" t="s">
        <v>459</v>
      </c>
      <c r="CU86" s="26"/>
      <c r="CV86" s="388" t="s">
        <v>458</v>
      </c>
      <c r="CW86" s="388" t="s">
        <v>458</v>
      </c>
      <c r="CX86" s="388" t="s">
        <v>458</v>
      </c>
      <c r="CY86" s="388" t="s">
        <v>458</v>
      </c>
      <c r="CZ86" s="388" t="s">
        <v>458</v>
      </c>
      <c r="DA86" s="388" t="s">
        <v>458</v>
      </c>
      <c r="DB86" s="388" t="s">
        <v>458</v>
      </c>
      <c r="DC86" s="388" t="s">
        <v>458</v>
      </c>
      <c r="DD86" s="398" t="s">
        <v>459</v>
      </c>
      <c r="DE86" s="388" t="s">
        <v>458</v>
      </c>
      <c r="DF86" s="398" t="s">
        <v>459</v>
      </c>
      <c r="DG86" s="398" t="s">
        <v>459</v>
      </c>
      <c r="DH86" s="399" t="s">
        <v>459</v>
      </c>
    </row>
    <row r="87" spans="1:112" ht="89.25">
      <c r="A87" s="708" t="s">
        <v>47</v>
      </c>
      <c r="B87" s="354" t="s">
        <v>461</v>
      </c>
      <c r="C87" s="354" t="s">
        <v>461</v>
      </c>
      <c r="D87" s="354" t="s">
        <v>461</v>
      </c>
      <c r="E87" s="354" t="s">
        <v>461</v>
      </c>
      <c r="F87" s="354" t="s">
        <v>461</v>
      </c>
      <c r="G87" s="354" t="s">
        <v>461</v>
      </c>
      <c r="H87" s="354" t="s">
        <v>461</v>
      </c>
      <c r="I87" s="354" t="s">
        <v>461</v>
      </c>
      <c r="J87" s="358" t="s">
        <v>98</v>
      </c>
      <c r="K87" s="358" t="s">
        <v>98</v>
      </c>
      <c r="L87" s="358" t="s">
        <v>98</v>
      </c>
      <c r="M87" s="358" t="s">
        <v>98</v>
      </c>
      <c r="N87" s="358" t="s">
        <v>98</v>
      </c>
      <c r="P87" s="354" t="s">
        <v>461</v>
      </c>
      <c r="Q87" s="354" t="s">
        <v>461</v>
      </c>
      <c r="R87" s="354" t="s">
        <v>461</v>
      </c>
      <c r="S87" s="354" t="s">
        <v>461</v>
      </c>
      <c r="T87" s="351" t="s">
        <v>458</v>
      </c>
      <c r="U87" s="352" t="s">
        <v>458</v>
      </c>
      <c r="V87" s="351" t="s">
        <v>458</v>
      </c>
      <c r="W87" s="352" t="s">
        <v>458</v>
      </c>
      <c r="X87" s="362" t="s">
        <v>459</v>
      </c>
      <c r="Y87" s="351" t="s">
        <v>458</v>
      </c>
      <c r="Z87" s="370" t="s">
        <v>459</v>
      </c>
      <c r="AA87" s="370" t="s">
        <v>459</v>
      </c>
      <c r="AB87" s="370" t="s">
        <v>459</v>
      </c>
      <c r="AD87" s="354" t="s">
        <v>461</v>
      </c>
      <c r="AE87" s="354" t="s">
        <v>461</v>
      </c>
      <c r="AF87" s="354" t="s">
        <v>461</v>
      </c>
      <c r="AG87" s="354" t="s">
        <v>461</v>
      </c>
      <c r="AH87" s="354" t="s">
        <v>461</v>
      </c>
      <c r="AI87" s="354" t="s">
        <v>461</v>
      </c>
      <c r="AJ87" s="354" t="s">
        <v>461</v>
      </c>
      <c r="AK87" s="354" t="s">
        <v>461</v>
      </c>
      <c r="AL87" s="358" t="s">
        <v>98</v>
      </c>
      <c r="AM87" s="358" t="s">
        <v>98</v>
      </c>
      <c r="AN87" s="358" t="s">
        <v>98</v>
      </c>
      <c r="AO87" s="358" t="s">
        <v>98</v>
      </c>
      <c r="AP87" s="358" t="s">
        <v>98</v>
      </c>
      <c r="AQ87" s="26"/>
      <c r="AR87" s="388" t="s">
        <v>458</v>
      </c>
      <c r="AS87" s="388" t="s">
        <v>458</v>
      </c>
      <c r="AT87" s="388" t="s">
        <v>458</v>
      </c>
      <c r="AU87" s="388" t="s">
        <v>458</v>
      </c>
      <c r="AV87" s="388" t="s">
        <v>458</v>
      </c>
      <c r="AW87" s="388" t="s">
        <v>458</v>
      </c>
      <c r="AX87" s="388" t="s">
        <v>458</v>
      </c>
      <c r="AY87" s="388" t="s">
        <v>458</v>
      </c>
      <c r="AZ87" s="374" t="s">
        <v>459</v>
      </c>
      <c r="BA87" s="374" t="s">
        <v>458</v>
      </c>
      <c r="BB87" s="411" t="s">
        <v>471</v>
      </c>
      <c r="BC87" s="374" t="s">
        <v>459</v>
      </c>
      <c r="BD87" s="374" t="s">
        <v>459</v>
      </c>
      <c r="BE87" s="26"/>
      <c r="BF87" s="388" t="s">
        <v>458</v>
      </c>
      <c r="BG87" s="388" t="s">
        <v>458</v>
      </c>
      <c r="BH87" s="388" t="s">
        <v>458</v>
      </c>
      <c r="BI87" s="388" t="s">
        <v>458</v>
      </c>
      <c r="BJ87" s="388" t="s">
        <v>458</v>
      </c>
      <c r="BK87" s="388" t="s">
        <v>458</v>
      </c>
      <c r="BL87" s="388" t="s">
        <v>458</v>
      </c>
      <c r="BM87" s="388" t="s">
        <v>458</v>
      </c>
      <c r="BN87" s="388" t="s">
        <v>458</v>
      </c>
      <c r="BO87" s="388" t="s">
        <v>458</v>
      </c>
      <c r="BP87" s="374" t="s">
        <v>459</v>
      </c>
      <c r="BQ87" s="374" t="s">
        <v>459</v>
      </c>
      <c r="BR87" s="374" t="s">
        <v>459</v>
      </c>
      <c r="BS87" s="26"/>
      <c r="BT87" s="354" t="s">
        <v>461</v>
      </c>
      <c r="BU87" s="354" t="s">
        <v>461</v>
      </c>
      <c r="BV87" s="354" t="s">
        <v>461</v>
      </c>
      <c r="BW87" s="354" t="s">
        <v>461</v>
      </c>
      <c r="BX87" s="354" t="s">
        <v>461</v>
      </c>
      <c r="BY87" s="354" t="s">
        <v>461</v>
      </c>
      <c r="BZ87" s="354" t="s">
        <v>461</v>
      </c>
      <c r="CA87" s="354" t="s">
        <v>461</v>
      </c>
      <c r="CB87" s="358" t="s">
        <v>98</v>
      </c>
      <c r="CC87" s="358" t="s">
        <v>98</v>
      </c>
      <c r="CD87" s="358" t="s">
        <v>98</v>
      </c>
      <c r="CE87" s="358" t="s">
        <v>98</v>
      </c>
      <c r="CF87" s="358" t="s">
        <v>98</v>
      </c>
      <c r="CG87" s="26"/>
      <c r="CH87" s="388" t="s">
        <v>458</v>
      </c>
      <c r="CI87" s="388" t="s">
        <v>458</v>
      </c>
      <c r="CJ87" s="388" t="s">
        <v>458</v>
      </c>
      <c r="CK87" s="388" t="s">
        <v>458</v>
      </c>
      <c r="CL87" s="388" t="s">
        <v>458</v>
      </c>
      <c r="CM87" s="388" t="s">
        <v>458</v>
      </c>
      <c r="CN87" s="388" t="s">
        <v>458</v>
      </c>
      <c r="CO87" s="388" t="s">
        <v>458</v>
      </c>
      <c r="CP87" s="388" t="s">
        <v>459</v>
      </c>
      <c r="CQ87" s="388" t="s">
        <v>458</v>
      </c>
      <c r="CR87" s="374" t="s">
        <v>459</v>
      </c>
      <c r="CS87" s="374" t="s">
        <v>459</v>
      </c>
      <c r="CT87" s="374" t="s">
        <v>459</v>
      </c>
      <c r="CU87" s="26"/>
      <c r="CV87" s="388" t="s">
        <v>458</v>
      </c>
      <c r="CW87" s="388" t="s">
        <v>458</v>
      </c>
      <c r="CX87" s="388" t="s">
        <v>458</v>
      </c>
      <c r="CY87" s="388" t="s">
        <v>458</v>
      </c>
      <c r="CZ87" s="388" t="s">
        <v>458</v>
      </c>
      <c r="DA87" s="388" t="s">
        <v>458</v>
      </c>
      <c r="DB87" s="388" t="s">
        <v>458</v>
      </c>
      <c r="DC87" s="388" t="s">
        <v>458</v>
      </c>
      <c r="DD87" s="398" t="s">
        <v>459</v>
      </c>
      <c r="DE87" s="388" t="s">
        <v>458</v>
      </c>
      <c r="DF87" s="398" t="s">
        <v>459</v>
      </c>
      <c r="DG87" s="398" t="s">
        <v>459</v>
      </c>
      <c r="DH87" s="399" t="s">
        <v>459</v>
      </c>
    </row>
    <row r="88" spans="1:112" ht="89.25">
      <c r="A88" s="708" t="s">
        <v>48</v>
      </c>
      <c r="B88" s="354" t="s">
        <v>461</v>
      </c>
      <c r="C88" s="354" t="s">
        <v>461</v>
      </c>
      <c r="D88" s="354" t="s">
        <v>461</v>
      </c>
      <c r="E88" s="354" t="s">
        <v>461</v>
      </c>
      <c r="F88" s="354" t="s">
        <v>461</v>
      </c>
      <c r="G88" s="354" t="s">
        <v>461</v>
      </c>
      <c r="H88" s="354" t="s">
        <v>461</v>
      </c>
      <c r="I88" s="354" t="s">
        <v>461</v>
      </c>
      <c r="J88" s="358" t="s">
        <v>98</v>
      </c>
      <c r="K88" s="358" t="s">
        <v>98</v>
      </c>
      <c r="L88" s="358" t="s">
        <v>98</v>
      </c>
      <c r="M88" s="358" t="s">
        <v>98</v>
      </c>
      <c r="N88" s="358" t="s">
        <v>98</v>
      </c>
      <c r="P88" s="354" t="s">
        <v>461</v>
      </c>
      <c r="Q88" s="354" t="s">
        <v>461</v>
      </c>
      <c r="R88" s="354" t="s">
        <v>461</v>
      </c>
      <c r="S88" s="354" t="s">
        <v>461</v>
      </c>
      <c r="T88" s="351" t="s">
        <v>458</v>
      </c>
      <c r="U88" s="352" t="s">
        <v>458</v>
      </c>
      <c r="V88" s="351" t="s">
        <v>458</v>
      </c>
      <c r="W88" s="352" t="s">
        <v>458</v>
      </c>
      <c r="X88" s="362" t="s">
        <v>459</v>
      </c>
      <c r="Y88" s="351" t="s">
        <v>458</v>
      </c>
      <c r="Z88" s="370" t="s">
        <v>459</v>
      </c>
      <c r="AA88" s="370" t="s">
        <v>459</v>
      </c>
      <c r="AB88" s="370" t="s">
        <v>459</v>
      </c>
      <c r="AD88" s="354" t="s">
        <v>461</v>
      </c>
      <c r="AE88" s="354" t="s">
        <v>461</v>
      </c>
      <c r="AF88" s="354" t="s">
        <v>461</v>
      </c>
      <c r="AG88" s="354" t="s">
        <v>461</v>
      </c>
      <c r="AH88" s="354" t="s">
        <v>461</v>
      </c>
      <c r="AI88" s="354" t="s">
        <v>461</v>
      </c>
      <c r="AJ88" s="354" t="s">
        <v>461</v>
      </c>
      <c r="AK88" s="354" t="s">
        <v>461</v>
      </c>
      <c r="AL88" s="358" t="s">
        <v>98</v>
      </c>
      <c r="AM88" s="358" t="s">
        <v>98</v>
      </c>
      <c r="AN88" s="358" t="s">
        <v>98</v>
      </c>
      <c r="AO88" s="358" t="s">
        <v>98</v>
      </c>
      <c r="AP88" s="358" t="s">
        <v>98</v>
      </c>
      <c r="AQ88" s="26"/>
      <c r="AR88" s="388" t="s">
        <v>458</v>
      </c>
      <c r="AS88" s="388" t="s">
        <v>458</v>
      </c>
      <c r="AT88" s="388" t="s">
        <v>458</v>
      </c>
      <c r="AU88" s="388" t="s">
        <v>458</v>
      </c>
      <c r="AV88" s="388" t="s">
        <v>458</v>
      </c>
      <c r="AW88" s="388" t="s">
        <v>458</v>
      </c>
      <c r="AX88" s="388" t="s">
        <v>458</v>
      </c>
      <c r="AY88" s="388" t="s">
        <v>458</v>
      </c>
      <c r="AZ88" s="374" t="s">
        <v>459</v>
      </c>
      <c r="BA88" s="374" t="s">
        <v>458</v>
      </c>
      <c r="BB88" s="411" t="s">
        <v>471</v>
      </c>
      <c r="BC88" s="374" t="s">
        <v>459</v>
      </c>
      <c r="BD88" s="374" t="s">
        <v>459</v>
      </c>
      <c r="BE88" s="26"/>
      <c r="BF88" s="388" t="s">
        <v>458</v>
      </c>
      <c r="BG88" s="388" t="s">
        <v>458</v>
      </c>
      <c r="BH88" s="388" t="s">
        <v>458</v>
      </c>
      <c r="BI88" s="388" t="s">
        <v>458</v>
      </c>
      <c r="BJ88" s="388" t="s">
        <v>458</v>
      </c>
      <c r="BK88" s="388" t="s">
        <v>458</v>
      </c>
      <c r="BL88" s="388" t="s">
        <v>458</v>
      </c>
      <c r="BM88" s="388" t="s">
        <v>458</v>
      </c>
      <c r="BN88" s="388" t="s">
        <v>458</v>
      </c>
      <c r="BO88" s="388" t="s">
        <v>458</v>
      </c>
      <c r="BP88" s="374" t="s">
        <v>459</v>
      </c>
      <c r="BQ88" s="374" t="s">
        <v>459</v>
      </c>
      <c r="BR88" s="374" t="s">
        <v>459</v>
      </c>
      <c r="BS88" s="26"/>
      <c r="BT88" s="354" t="s">
        <v>461</v>
      </c>
      <c r="BU88" s="354" t="s">
        <v>461</v>
      </c>
      <c r="BV88" s="354" t="s">
        <v>461</v>
      </c>
      <c r="BW88" s="354" t="s">
        <v>461</v>
      </c>
      <c r="BX88" s="354" t="s">
        <v>461</v>
      </c>
      <c r="BY88" s="354" t="s">
        <v>461</v>
      </c>
      <c r="BZ88" s="354" t="s">
        <v>461</v>
      </c>
      <c r="CA88" s="354" t="s">
        <v>461</v>
      </c>
      <c r="CB88" s="358" t="s">
        <v>98</v>
      </c>
      <c r="CC88" s="358" t="s">
        <v>98</v>
      </c>
      <c r="CD88" s="358" t="s">
        <v>98</v>
      </c>
      <c r="CE88" s="358" t="s">
        <v>98</v>
      </c>
      <c r="CF88" s="358" t="s">
        <v>98</v>
      </c>
      <c r="CG88" s="26"/>
      <c r="CH88" s="388" t="s">
        <v>458</v>
      </c>
      <c r="CI88" s="388" t="s">
        <v>458</v>
      </c>
      <c r="CJ88" s="388" t="s">
        <v>458</v>
      </c>
      <c r="CK88" s="388" t="s">
        <v>458</v>
      </c>
      <c r="CL88" s="388" t="s">
        <v>458</v>
      </c>
      <c r="CM88" s="388" t="s">
        <v>458</v>
      </c>
      <c r="CN88" s="388" t="s">
        <v>458</v>
      </c>
      <c r="CO88" s="388" t="s">
        <v>458</v>
      </c>
      <c r="CP88" s="388" t="s">
        <v>459</v>
      </c>
      <c r="CQ88" s="388" t="s">
        <v>458</v>
      </c>
      <c r="CR88" s="374" t="s">
        <v>459</v>
      </c>
      <c r="CS88" s="374" t="s">
        <v>459</v>
      </c>
      <c r="CT88" s="374" t="s">
        <v>459</v>
      </c>
      <c r="CU88" s="26"/>
      <c r="CV88" s="388" t="s">
        <v>458</v>
      </c>
      <c r="CW88" s="388" t="s">
        <v>458</v>
      </c>
      <c r="CX88" s="388" t="s">
        <v>458</v>
      </c>
      <c r="CY88" s="388" t="s">
        <v>458</v>
      </c>
      <c r="CZ88" s="388" t="s">
        <v>458</v>
      </c>
      <c r="DA88" s="388" t="s">
        <v>458</v>
      </c>
      <c r="DB88" s="388" t="s">
        <v>458</v>
      </c>
      <c r="DC88" s="388" t="s">
        <v>458</v>
      </c>
      <c r="DD88" s="398" t="s">
        <v>459</v>
      </c>
      <c r="DE88" s="388" t="s">
        <v>458</v>
      </c>
      <c r="DF88" s="398" t="s">
        <v>459</v>
      </c>
      <c r="DG88" s="398" t="s">
        <v>459</v>
      </c>
      <c r="DH88" s="399" t="s">
        <v>459</v>
      </c>
    </row>
    <row r="89" spans="1:112" ht="89.25">
      <c r="A89" s="708" t="s">
        <v>65</v>
      </c>
      <c r="B89" s="354" t="s">
        <v>461</v>
      </c>
      <c r="C89" s="354" t="s">
        <v>461</v>
      </c>
      <c r="D89" s="354" t="s">
        <v>461</v>
      </c>
      <c r="E89" s="354" t="s">
        <v>461</v>
      </c>
      <c r="F89" s="354" t="s">
        <v>461</v>
      </c>
      <c r="G89" s="354" t="s">
        <v>461</v>
      </c>
      <c r="H89" s="354" t="s">
        <v>461</v>
      </c>
      <c r="I89" s="354" t="s">
        <v>461</v>
      </c>
      <c r="J89" s="358" t="s">
        <v>98</v>
      </c>
      <c r="K89" s="358" t="s">
        <v>98</v>
      </c>
      <c r="L89" s="358" t="s">
        <v>98</v>
      </c>
      <c r="M89" s="358" t="s">
        <v>98</v>
      </c>
      <c r="N89" s="358" t="s">
        <v>98</v>
      </c>
      <c r="P89" s="354" t="s">
        <v>461</v>
      </c>
      <c r="Q89" s="354" t="s">
        <v>461</v>
      </c>
      <c r="R89" s="354" t="s">
        <v>461</v>
      </c>
      <c r="S89" s="354" t="s">
        <v>461</v>
      </c>
      <c r="T89" s="351" t="s">
        <v>458</v>
      </c>
      <c r="U89" s="352" t="s">
        <v>458</v>
      </c>
      <c r="V89" s="351" t="s">
        <v>458</v>
      </c>
      <c r="W89" s="352" t="s">
        <v>458</v>
      </c>
      <c r="X89" s="362" t="s">
        <v>459</v>
      </c>
      <c r="Y89" s="351" t="s">
        <v>458</v>
      </c>
      <c r="Z89" s="370" t="s">
        <v>459</v>
      </c>
      <c r="AA89" s="370" t="s">
        <v>459</v>
      </c>
      <c r="AB89" s="370" t="s">
        <v>459</v>
      </c>
      <c r="AD89" s="354" t="s">
        <v>461</v>
      </c>
      <c r="AE89" s="354" t="s">
        <v>461</v>
      </c>
      <c r="AF89" s="354" t="s">
        <v>461</v>
      </c>
      <c r="AG89" s="354" t="s">
        <v>461</v>
      </c>
      <c r="AH89" s="354" t="s">
        <v>461</v>
      </c>
      <c r="AI89" s="354" t="s">
        <v>461</v>
      </c>
      <c r="AJ89" s="354" t="s">
        <v>461</v>
      </c>
      <c r="AK89" s="354" t="s">
        <v>461</v>
      </c>
      <c r="AL89" s="358" t="s">
        <v>98</v>
      </c>
      <c r="AM89" s="358" t="s">
        <v>98</v>
      </c>
      <c r="AN89" s="358" t="s">
        <v>98</v>
      </c>
      <c r="AO89" s="358" t="s">
        <v>98</v>
      </c>
      <c r="AP89" s="358" t="s">
        <v>98</v>
      </c>
      <c r="AQ89" s="26"/>
      <c r="AR89" s="388" t="s">
        <v>458</v>
      </c>
      <c r="AS89" s="388" t="s">
        <v>458</v>
      </c>
      <c r="AT89" s="388" t="s">
        <v>458</v>
      </c>
      <c r="AU89" s="388" t="s">
        <v>458</v>
      </c>
      <c r="AV89" s="388" t="s">
        <v>458</v>
      </c>
      <c r="AW89" s="388" t="s">
        <v>458</v>
      </c>
      <c r="AX89" s="388" t="s">
        <v>458</v>
      </c>
      <c r="AY89" s="388" t="s">
        <v>458</v>
      </c>
      <c r="AZ89" s="374" t="s">
        <v>459</v>
      </c>
      <c r="BA89" s="374" t="s">
        <v>458</v>
      </c>
      <c r="BB89" s="411" t="s">
        <v>471</v>
      </c>
      <c r="BC89" s="374" t="s">
        <v>459</v>
      </c>
      <c r="BD89" s="374" t="s">
        <v>459</v>
      </c>
      <c r="BE89" s="26"/>
      <c r="BF89" s="388" t="s">
        <v>458</v>
      </c>
      <c r="BG89" s="388" t="s">
        <v>458</v>
      </c>
      <c r="BH89" s="388" t="s">
        <v>458</v>
      </c>
      <c r="BI89" s="388" t="s">
        <v>458</v>
      </c>
      <c r="BJ89" s="388" t="s">
        <v>458</v>
      </c>
      <c r="BK89" s="388" t="s">
        <v>458</v>
      </c>
      <c r="BL89" s="388" t="s">
        <v>458</v>
      </c>
      <c r="BM89" s="388" t="s">
        <v>458</v>
      </c>
      <c r="BN89" s="388" t="s">
        <v>458</v>
      </c>
      <c r="BO89" s="388" t="s">
        <v>458</v>
      </c>
      <c r="BP89" s="374" t="s">
        <v>459</v>
      </c>
      <c r="BQ89" s="374" t="s">
        <v>459</v>
      </c>
      <c r="BR89" s="374" t="s">
        <v>459</v>
      </c>
      <c r="BS89" s="26"/>
      <c r="BT89" s="354" t="s">
        <v>461</v>
      </c>
      <c r="BU89" s="354" t="s">
        <v>461</v>
      </c>
      <c r="BV89" s="354" t="s">
        <v>461</v>
      </c>
      <c r="BW89" s="354" t="s">
        <v>461</v>
      </c>
      <c r="BX89" s="354" t="s">
        <v>461</v>
      </c>
      <c r="BY89" s="354" t="s">
        <v>461</v>
      </c>
      <c r="BZ89" s="354" t="s">
        <v>461</v>
      </c>
      <c r="CA89" s="354" t="s">
        <v>461</v>
      </c>
      <c r="CB89" s="358" t="s">
        <v>98</v>
      </c>
      <c r="CC89" s="358" t="s">
        <v>98</v>
      </c>
      <c r="CD89" s="358" t="s">
        <v>98</v>
      </c>
      <c r="CE89" s="358" t="s">
        <v>98</v>
      </c>
      <c r="CF89" s="358" t="s">
        <v>98</v>
      </c>
      <c r="CG89" s="26"/>
      <c r="CH89" s="388" t="s">
        <v>458</v>
      </c>
      <c r="CI89" s="388" t="s">
        <v>458</v>
      </c>
      <c r="CJ89" s="388" t="s">
        <v>458</v>
      </c>
      <c r="CK89" s="388" t="s">
        <v>458</v>
      </c>
      <c r="CL89" s="388" t="s">
        <v>458</v>
      </c>
      <c r="CM89" s="388" t="s">
        <v>458</v>
      </c>
      <c r="CN89" s="388" t="s">
        <v>458</v>
      </c>
      <c r="CO89" s="388" t="s">
        <v>458</v>
      </c>
      <c r="CP89" s="388" t="s">
        <v>459</v>
      </c>
      <c r="CQ89" s="388" t="s">
        <v>458</v>
      </c>
      <c r="CR89" s="374" t="s">
        <v>459</v>
      </c>
      <c r="CS89" s="374" t="s">
        <v>459</v>
      </c>
      <c r="CT89" s="374" t="s">
        <v>459</v>
      </c>
      <c r="CU89" s="26"/>
      <c r="CV89" s="388" t="s">
        <v>458</v>
      </c>
      <c r="CW89" s="388" t="s">
        <v>458</v>
      </c>
      <c r="CX89" s="388" t="s">
        <v>458</v>
      </c>
      <c r="CY89" s="388" t="s">
        <v>458</v>
      </c>
      <c r="CZ89" s="388" t="s">
        <v>458</v>
      </c>
      <c r="DA89" s="388" t="s">
        <v>458</v>
      </c>
      <c r="DB89" s="388" t="s">
        <v>458</v>
      </c>
      <c r="DC89" s="388" t="s">
        <v>458</v>
      </c>
      <c r="DD89" s="398" t="s">
        <v>459</v>
      </c>
      <c r="DE89" s="388" t="s">
        <v>458</v>
      </c>
      <c r="DF89" s="398" t="s">
        <v>459</v>
      </c>
      <c r="DG89" s="400" t="s">
        <v>459</v>
      </c>
      <c r="DH89" s="399" t="s">
        <v>459</v>
      </c>
    </row>
    <row r="90" spans="1:112" s="225" customFormat="1">
      <c r="A90" s="711" t="s">
        <v>49</v>
      </c>
      <c r="B90" s="749" t="s">
        <v>774</v>
      </c>
      <c r="C90" s="749"/>
      <c r="D90" s="749"/>
      <c r="E90" s="749"/>
      <c r="F90" s="749"/>
      <c r="G90" s="749"/>
      <c r="H90" s="749"/>
      <c r="I90" s="749"/>
      <c r="J90" s="749"/>
      <c r="K90" s="749"/>
      <c r="L90" s="749"/>
      <c r="M90" s="749"/>
      <c r="N90" s="749"/>
      <c r="P90" s="749" t="s">
        <v>774</v>
      </c>
      <c r="Q90" s="749"/>
      <c r="R90" s="749"/>
      <c r="S90" s="749"/>
      <c r="T90" s="749"/>
      <c r="U90" s="749"/>
      <c r="V90" s="749"/>
      <c r="W90" s="749"/>
      <c r="X90" s="749"/>
      <c r="Y90" s="749"/>
      <c r="Z90" s="749"/>
      <c r="AA90" s="749"/>
      <c r="AB90" s="749"/>
      <c r="AD90" s="749" t="s">
        <v>774</v>
      </c>
      <c r="AE90" s="749"/>
      <c r="AF90" s="749"/>
      <c r="AG90" s="749"/>
      <c r="AH90" s="749"/>
      <c r="AI90" s="749"/>
      <c r="AJ90" s="749"/>
      <c r="AK90" s="749"/>
      <c r="AL90" s="749"/>
      <c r="AM90" s="749"/>
      <c r="AN90" s="749"/>
      <c r="AO90" s="749"/>
      <c r="AP90" s="749"/>
      <c r="AQ90" s="402"/>
      <c r="AR90" s="749" t="s">
        <v>774</v>
      </c>
      <c r="AS90" s="749"/>
      <c r="AT90" s="749"/>
      <c r="AU90" s="749"/>
      <c r="AV90" s="749"/>
      <c r="AW90" s="749"/>
      <c r="AX90" s="749"/>
      <c r="AY90" s="749"/>
      <c r="AZ90" s="749"/>
      <c r="BA90" s="749"/>
      <c r="BB90" s="749"/>
      <c r="BC90" s="749"/>
      <c r="BD90" s="749"/>
      <c r="BE90" s="402"/>
      <c r="BF90" s="749" t="s">
        <v>774</v>
      </c>
      <c r="BG90" s="749"/>
      <c r="BH90" s="749"/>
      <c r="BI90" s="749"/>
      <c r="BJ90" s="749"/>
      <c r="BK90" s="749"/>
      <c r="BL90" s="749"/>
      <c r="BM90" s="749"/>
      <c r="BN90" s="749"/>
      <c r="BO90" s="749"/>
      <c r="BP90" s="749"/>
      <c r="BQ90" s="749"/>
      <c r="BR90" s="749"/>
      <c r="BS90" s="26"/>
      <c r="BT90" s="749" t="s">
        <v>774</v>
      </c>
      <c r="BU90" s="749"/>
      <c r="BV90" s="749"/>
      <c r="BW90" s="749"/>
      <c r="BX90" s="749"/>
      <c r="BY90" s="749"/>
      <c r="BZ90" s="749"/>
      <c r="CA90" s="749"/>
      <c r="CB90" s="749"/>
      <c r="CC90" s="749"/>
      <c r="CD90" s="749"/>
      <c r="CE90" s="749"/>
      <c r="CF90" s="749"/>
      <c r="CG90" s="402"/>
      <c r="CH90" s="749" t="s">
        <v>774</v>
      </c>
      <c r="CI90" s="749"/>
      <c r="CJ90" s="749"/>
      <c r="CK90" s="749"/>
      <c r="CL90" s="749"/>
      <c r="CM90" s="749"/>
      <c r="CN90" s="749"/>
      <c r="CO90" s="749"/>
      <c r="CP90" s="749"/>
      <c r="CQ90" s="749"/>
      <c r="CR90" s="749"/>
      <c r="CS90" s="749"/>
      <c r="CT90" s="749"/>
      <c r="CU90" s="402"/>
      <c r="CV90" s="749" t="s">
        <v>774</v>
      </c>
      <c r="CW90" s="749"/>
      <c r="CX90" s="749"/>
      <c r="CY90" s="749"/>
      <c r="CZ90" s="749"/>
      <c r="DA90" s="749"/>
      <c r="DB90" s="749"/>
      <c r="DC90" s="749"/>
      <c r="DD90" s="749"/>
      <c r="DE90" s="749"/>
      <c r="DF90" s="749"/>
      <c r="DG90" s="749"/>
      <c r="DH90" s="749"/>
    </row>
    <row r="91" spans="1:112" ht="89.25">
      <c r="A91" s="708" t="s">
        <v>50</v>
      </c>
      <c r="B91" s="354" t="s">
        <v>461</v>
      </c>
      <c r="C91" s="354" t="s">
        <v>461</v>
      </c>
      <c r="D91" s="354" t="s">
        <v>461</v>
      </c>
      <c r="E91" s="354" t="s">
        <v>461</v>
      </c>
      <c r="F91" s="354" t="s">
        <v>461</v>
      </c>
      <c r="G91" s="354" t="s">
        <v>461</v>
      </c>
      <c r="H91" s="354" t="s">
        <v>461</v>
      </c>
      <c r="I91" s="354" t="s">
        <v>461</v>
      </c>
      <c r="J91" s="358" t="s">
        <v>98</v>
      </c>
      <c r="K91" s="358" t="s">
        <v>98</v>
      </c>
      <c r="L91" s="358" t="s">
        <v>98</v>
      </c>
      <c r="M91" s="358" t="s">
        <v>98</v>
      </c>
      <c r="N91" s="358" t="s">
        <v>98</v>
      </c>
      <c r="P91" s="354" t="s">
        <v>461</v>
      </c>
      <c r="Q91" s="354" t="s">
        <v>461</v>
      </c>
      <c r="R91" s="354" t="s">
        <v>461</v>
      </c>
      <c r="S91" s="354" t="s">
        <v>461</v>
      </c>
      <c r="T91" s="351" t="s">
        <v>458</v>
      </c>
      <c r="U91" s="352" t="s">
        <v>458</v>
      </c>
      <c r="V91" s="351" t="s">
        <v>458</v>
      </c>
      <c r="W91" s="352" t="s">
        <v>458</v>
      </c>
      <c r="X91" s="374" t="s">
        <v>459</v>
      </c>
      <c r="Y91" s="351" t="s">
        <v>458</v>
      </c>
      <c r="Z91" s="370" t="s">
        <v>459</v>
      </c>
      <c r="AA91" s="370" t="s">
        <v>459</v>
      </c>
      <c r="AB91" s="370" t="s">
        <v>459</v>
      </c>
      <c r="AD91" s="354" t="s">
        <v>461</v>
      </c>
      <c r="AE91" s="354" t="s">
        <v>461</v>
      </c>
      <c r="AF91" s="354" t="s">
        <v>461</v>
      </c>
      <c r="AG91" s="354" t="s">
        <v>461</v>
      </c>
      <c r="AH91" s="354" t="s">
        <v>461</v>
      </c>
      <c r="AI91" s="354" t="s">
        <v>461</v>
      </c>
      <c r="AJ91" s="354" t="s">
        <v>461</v>
      </c>
      <c r="AK91" s="354" t="s">
        <v>461</v>
      </c>
      <c r="AL91" s="358" t="s">
        <v>98</v>
      </c>
      <c r="AM91" s="358" t="s">
        <v>98</v>
      </c>
      <c r="AN91" s="358" t="s">
        <v>98</v>
      </c>
      <c r="AO91" s="358" t="s">
        <v>98</v>
      </c>
      <c r="AP91" s="358" t="s">
        <v>98</v>
      </c>
      <c r="AQ91" s="26"/>
      <c r="AR91" s="388" t="s">
        <v>458</v>
      </c>
      <c r="AS91" s="388" t="s">
        <v>458</v>
      </c>
      <c r="AT91" s="388" t="s">
        <v>458</v>
      </c>
      <c r="AU91" s="388" t="s">
        <v>458</v>
      </c>
      <c r="AV91" s="388" t="s">
        <v>458</v>
      </c>
      <c r="AW91" s="388" t="s">
        <v>458</v>
      </c>
      <c r="AX91" s="388" t="s">
        <v>458</v>
      </c>
      <c r="AY91" s="388" t="s">
        <v>458</v>
      </c>
      <c r="AZ91" s="374" t="s">
        <v>459</v>
      </c>
      <c r="BA91" s="374" t="s">
        <v>458</v>
      </c>
      <c r="BB91" s="411" t="s">
        <v>471</v>
      </c>
      <c r="BC91" s="374" t="s">
        <v>459</v>
      </c>
      <c r="BD91" s="374" t="s">
        <v>459</v>
      </c>
      <c r="BE91" s="26"/>
      <c r="BF91" s="388" t="s">
        <v>458</v>
      </c>
      <c r="BG91" s="388" t="s">
        <v>458</v>
      </c>
      <c r="BH91" s="388" t="s">
        <v>458</v>
      </c>
      <c r="BI91" s="388" t="s">
        <v>458</v>
      </c>
      <c r="BJ91" s="388" t="s">
        <v>458</v>
      </c>
      <c r="BK91" s="388" t="s">
        <v>458</v>
      </c>
      <c r="BL91" s="388" t="s">
        <v>458</v>
      </c>
      <c r="BM91" s="388" t="s">
        <v>458</v>
      </c>
      <c r="BN91" s="388" t="s">
        <v>458</v>
      </c>
      <c r="BO91" s="388" t="s">
        <v>458</v>
      </c>
      <c r="BP91" s="374" t="s">
        <v>459</v>
      </c>
      <c r="BQ91" s="374" t="s">
        <v>459</v>
      </c>
      <c r="BR91" s="374" t="s">
        <v>459</v>
      </c>
      <c r="BS91" s="26"/>
      <c r="BT91" s="354" t="s">
        <v>461</v>
      </c>
      <c r="BU91" s="354" t="s">
        <v>461</v>
      </c>
      <c r="BV91" s="354" t="s">
        <v>461</v>
      </c>
      <c r="BW91" s="354" t="s">
        <v>461</v>
      </c>
      <c r="BX91" s="354" t="s">
        <v>461</v>
      </c>
      <c r="BY91" s="354" t="s">
        <v>461</v>
      </c>
      <c r="BZ91" s="354" t="s">
        <v>461</v>
      </c>
      <c r="CA91" s="354" t="s">
        <v>461</v>
      </c>
      <c r="CB91" s="358" t="s">
        <v>98</v>
      </c>
      <c r="CC91" s="358" t="s">
        <v>98</v>
      </c>
      <c r="CD91" s="358" t="s">
        <v>98</v>
      </c>
      <c r="CE91" s="358" t="s">
        <v>98</v>
      </c>
      <c r="CF91" s="358" t="s">
        <v>98</v>
      </c>
      <c r="CG91" s="26"/>
      <c r="CH91" s="388" t="s">
        <v>458</v>
      </c>
      <c r="CI91" s="388" t="s">
        <v>458</v>
      </c>
      <c r="CJ91" s="388" t="s">
        <v>458</v>
      </c>
      <c r="CK91" s="388" t="s">
        <v>458</v>
      </c>
      <c r="CL91" s="388" t="s">
        <v>458</v>
      </c>
      <c r="CM91" s="388" t="s">
        <v>458</v>
      </c>
      <c r="CN91" s="388" t="s">
        <v>458</v>
      </c>
      <c r="CO91" s="388" t="s">
        <v>458</v>
      </c>
      <c r="CP91" s="388" t="s">
        <v>459</v>
      </c>
      <c r="CQ91" s="388" t="s">
        <v>458</v>
      </c>
      <c r="CR91" s="374" t="s">
        <v>459</v>
      </c>
      <c r="CS91" s="374" t="s">
        <v>459</v>
      </c>
      <c r="CT91" s="374" t="s">
        <v>459</v>
      </c>
      <c r="CU91" s="26"/>
      <c r="CV91" s="388" t="s">
        <v>458</v>
      </c>
      <c r="CW91" s="388" t="s">
        <v>458</v>
      </c>
      <c r="CX91" s="388" t="s">
        <v>458</v>
      </c>
      <c r="CY91" s="388" t="s">
        <v>458</v>
      </c>
      <c r="CZ91" s="388" t="s">
        <v>458</v>
      </c>
      <c r="DA91" s="388" t="s">
        <v>458</v>
      </c>
      <c r="DB91" s="388" t="s">
        <v>458</v>
      </c>
      <c r="DC91" s="388" t="s">
        <v>458</v>
      </c>
      <c r="DD91" s="398" t="s">
        <v>459</v>
      </c>
      <c r="DE91" s="388" t="s">
        <v>458</v>
      </c>
      <c r="DF91" s="401" t="s">
        <v>459</v>
      </c>
      <c r="DG91" s="401" t="s">
        <v>459</v>
      </c>
      <c r="DH91" s="399" t="s">
        <v>459</v>
      </c>
    </row>
    <row r="92" spans="1:112" ht="89.25">
      <c r="A92" s="708" t="s">
        <v>51</v>
      </c>
      <c r="B92" s="354" t="s">
        <v>461</v>
      </c>
      <c r="C92" s="354" t="s">
        <v>461</v>
      </c>
      <c r="D92" s="354" t="s">
        <v>461</v>
      </c>
      <c r="E92" s="354" t="s">
        <v>461</v>
      </c>
      <c r="F92" s="354" t="s">
        <v>461</v>
      </c>
      <c r="G92" s="354" t="s">
        <v>461</v>
      </c>
      <c r="H92" s="354" t="s">
        <v>461</v>
      </c>
      <c r="I92" s="354" t="s">
        <v>461</v>
      </c>
      <c r="J92" s="358" t="s">
        <v>98</v>
      </c>
      <c r="K92" s="358" t="s">
        <v>98</v>
      </c>
      <c r="L92" s="358" t="s">
        <v>98</v>
      </c>
      <c r="M92" s="358" t="s">
        <v>98</v>
      </c>
      <c r="N92" s="358" t="s">
        <v>98</v>
      </c>
      <c r="P92" s="349" t="s">
        <v>457</v>
      </c>
      <c r="Q92" s="349" t="s">
        <v>457</v>
      </c>
      <c r="R92" s="349" t="s">
        <v>457</v>
      </c>
      <c r="S92" s="349" t="s">
        <v>457</v>
      </c>
      <c r="T92" s="351" t="s">
        <v>458</v>
      </c>
      <c r="U92" s="352" t="s">
        <v>458</v>
      </c>
      <c r="V92" s="351" t="s">
        <v>458</v>
      </c>
      <c r="W92" s="352" t="s">
        <v>458</v>
      </c>
      <c r="X92" s="362" t="s">
        <v>459</v>
      </c>
      <c r="Y92" s="351" t="s">
        <v>458</v>
      </c>
      <c r="Z92" s="370" t="s">
        <v>459</v>
      </c>
      <c r="AA92" s="370" t="s">
        <v>459</v>
      </c>
      <c r="AB92" s="370" t="s">
        <v>459</v>
      </c>
      <c r="AD92" s="354" t="s">
        <v>461</v>
      </c>
      <c r="AE92" s="354" t="s">
        <v>461</v>
      </c>
      <c r="AF92" s="354" t="s">
        <v>461</v>
      </c>
      <c r="AG92" s="354" t="s">
        <v>461</v>
      </c>
      <c r="AH92" s="354" t="s">
        <v>461</v>
      </c>
      <c r="AI92" s="354" t="s">
        <v>461</v>
      </c>
      <c r="AJ92" s="354" t="s">
        <v>461</v>
      </c>
      <c r="AK92" s="354" t="s">
        <v>461</v>
      </c>
      <c r="AL92" s="358" t="s">
        <v>98</v>
      </c>
      <c r="AM92" s="358" t="s">
        <v>98</v>
      </c>
      <c r="AN92" s="358" t="s">
        <v>98</v>
      </c>
      <c r="AO92" s="358" t="s">
        <v>98</v>
      </c>
      <c r="AP92" s="358" t="s">
        <v>98</v>
      </c>
      <c r="AQ92" s="26"/>
      <c r="AR92" s="388" t="s">
        <v>458</v>
      </c>
      <c r="AS92" s="388" t="s">
        <v>458</v>
      </c>
      <c r="AT92" s="388" t="s">
        <v>458</v>
      </c>
      <c r="AU92" s="388" t="s">
        <v>458</v>
      </c>
      <c r="AV92" s="388" t="s">
        <v>458</v>
      </c>
      <c r="AW92" s="388" t="s">
        <v>458</v>
      </c>
      <c r="AX92" s="388" t="s">
        <v>458</v>
      </c>
      <c r="AY92" s="388" t="s">
        <v>458</v>
      </c>
      <c r="AZ92" s="374" t="s">
        <v>459</v>
      </c>
      <c r="BA92" s="374" t="s">
        <v>458</v>
      </c>
      <c r="BB92" s="411" t="s">
        <v>471</v>
      </c>
      <c r="BC92" s="374" t="s">
        <v>459</v>
      </c>
      <c r="BD92" s="374" t="s">
        <v>459</v>
      </c>
      <c r="BE92" s="26"/>
      <c r="BF92" s="388" t="s">
        <v>458</v>
      </c>
      <c r="BG92" s="388" t="s">
        <v>458</v>
      </c>
      <c r="BH92" s="388" t="s">
        <v>458</v>
      </c>
      <c r="BI92" s="388" t="s">
        <v>458</v>
      </c>
      <c r="BJ92" s="388" t="s">
        <v>458</v>
      </c>
      <c r="BK92" s="388" t="s">
        <v>458</v>
      </c>
      <c r="BL92" s="388" t="s">
        <v>458</v>
      </c>
      <c r="BM92" s="388" t="s">
        <v>458</v>
      </c>
      <c r="BN92" s="388" t="s">
        <v>458</v>
      </c>
      <c r="BO92" s="347" t="s">
        <v>567</v>
      </c>
      <c r="BP92" s="374" t="s">
        <v>459</v>
      </c>
      <c r="BQ92" s="374" t="s">
        <v>459</v>
      </c>
      <c r="BR92" s="374" t="s">
        <v>459</v>
      </c>
      <c r="BS92" s="26"/>
      <c r="BT92" s="354" t="s">
        <v>461</v>
      </c>
      <c r="BU92" s="354" t="s">
        <v>461</v>
      </c>
      <c r="BV92" s="354" t="s">
        <v>461</v>
      </c>
      <c r="BW92" s="354" t="s">
        <v>461</v>
      </c>
      <c r="BX92" s="354" t="s">
        <v>461</v>
      </c>
      <c r="BY92" s="354" t="s">
        <v>461</v>
      </c>
      <c r="BZ92" s="354" t="s">
        <v>461</v>
      </c>
      <c r="CA92" s="354" t="s">
        <v>461</v>
      </c>
      <c r="CB92" s="358" t="s">
        <v>98</v>
      </c>
      <c r="CC92" s="358" t="s">
        <v>98</v>
      </c>
      <c r="CD92" s="358" t="s">
        <v>98</v>
      </c>
      <c r="CE92" s="358" t="s">
        <v>98</v>
      </c>
      <c r="CF92" s="358" t="s">
        <v>98</v>
      </c>
      <c r="CG92" s="26"/>
      <c r="CH92" s="388" t="s">
        <v>458</v>
      </c>
      <c r="CI92" s="388" t="s">
        <v>458</v>
      </c>
      <c r="CJ92" s="388" t="s">
        <v>458</v>
      </c>
      <c r="CK92" s="388" t="s">
        <v>458</v>
      </c>
      <c r="CL92" s="388" t="s">
        <v>458</v>
      </c>
      <c r="CM92" s="388" t="s">
        <v>458</v>
      </c>
      <c r="CN92" s="388" t="s">
        <v>458</v>
      </c>
      <c r="CO92" s="388" t="s">
        <v>458</v>
      </c>
      <c r="CP92" s="388" t="s">
        <v>459</v>
      </c>
      <c r="CQ92" s="388" t="s">
        <v>458</v>
      </c>
      <c r="CR92" s="374" t="s">
        <v>459</v>
      </c>
      <c r="CS92" s="374" t="s">
        <v>459</v>
      </c>
      <c r="CT92" s="374" t="s">
        <v>459</v>
      </c>
      <c r="CU92" s="26"/>
      <c r="CV92" s="388" t="s">
        <v>458</v>
      </c>
      <c r="CW92" s="388" t="s">
        <v>458</v>
      </c>
      <c r="CX92" s="388" t="s">
        <v>458</v>
      </c>
      <c r="CY92" s="388" t="s">
        <v>458</v>
      </c>
      <c r="CZ92" s="388" t="s">
        <v>458</v>
      </c>
      <c r="DA92" s="388" t="s">
        <v>458</v>
      </c>
      <c r="DB92" s="388" t="s">
        <v>458</v>
      </c>
      <c r="DC92" s="388" t="s">
        <v>458</v>
      </c>
      <c r="DD92" s="398" t="s">
        <v>459</v>
      </c>
      <c r="DE92" s="388" t="s">
        <v>458</v>
      </c>
      <c r="DF92" s="401" t="s">
        <v>459</v>
      </c>
      <c r="DG92" s="401" t="s">
        <v>459</v>
      </c>
      <c r="DH92" s="399" t="s">
        <v>459</v>
      </c>
    </row>
    <row r="93" spans="1:112" ht="89.25">
      <c r="A93" s="708" t="s">
        <v>52</v>
      </c>
      <c r="B93" s="354" t="s">
        <v>461</v>
      </c>
      <c r="C93" s="354" t="s">
        <v>461</v>
      </c>
      <c r="D93" s="354" t="s">
        <v>461</v>
      </c>
      <c r="E93" s="354" t="s">
        <v>461</v>
      </c>
      <c r="F93" s="354" t="s">
        <v>461</v>
      </c>
      <c r="G93" s="354" t="s">
        <v>461</v>
      </c>
      <c r="H93" s="354" t="s">
        <v>461</v>
      </c>
      <c r="I93" s="354" t="s">
        <v>461</v>
      </c>
      <c r="J93" s="358" t="s">
        <v>98</v>
      </c>
      <c r="K93" s="358" t="s">
        <v>98</v>
      </c>
      <c r="L93" s="358" t="s">
        <v>98</v>
      </c>
      <c r="M93" s="358" t="s">
        <v>98</v>
      </c>
      <c r="N93" s="358" t="s">
        <v>98</v>
      </c>
      <c r="P93" s="349" t="s">
        <v>457</v>
      </c>
      <c r="Q93" s="349" t="s">
        <v>457</v>
      </c>
      <c r="R93" s="349" t="s">
        <v>457</v>
      </c>
      <c r="S93" s="349" t="s">
        <v>457</v>
      </c>
      <c r="T93" s="351" t="s">
        <v>458</v>
      </c>
      <c r="U93" s="352" t="s">
        <v>458</v>
      </c>
      <c r="V93" s="351" t="s">
        <v>458</v>
      </c>
      <c r="W93" s="359" t="s">
        <v>458</v>
      </c>
      <c r="X93" s="363" t="s">
        <v>459</v>
      </c>
      <c r="Y93" s="354" t="s">
        <v>458</v>
      </c>
      <c r="Z93" s="370" t="s">
        <v>459</v>
      </c>
      <c r="AA93" s="370" t="s">
        <v>459</v>
      </c>
      <c r="AB93" s="370" t="s">
        <v>459</v>
      </c>
      <c r="AD93" s="354" t="s">
        <v>461</v>
      </c>
      <c r="AE93" s="354" t="s">
        <v>461</v>
      </c>
      <c r="AF93" s="354" t="s">
        <v>461</v>
      </c>
      <c r="AG93" s="354" t="s">
        <v>461</v>
      </c>
      <c r="AH93" s="354" t="s">
        <v>461</v>
      </c>
      <c r="AI93" s="354" t="s">
        <v>461</v>
      </c>
      <c r="AJ93" s="354" t="s">
        <v>461</v>
      </c>
      <c r="AK93" s="354" t="s">
        <v>461</v>
      </c>
      <c r="AL93" s="358" t="s">
        <v>98</v>
      </c>
      <c r="AM93" s="358" t="s">
        <v>98</v>
      </c>
      <c r="AN93" s="358" t="s">
        <v>98</v>
      </c>
      <c r="AO93" s="358" t="s">
        <v>98</v>
      </c>
      <c r="AP93" s="358" t="s">
        <v>98</v>
      </c>
      <c r="AQ93" s="26"/>
      <c r="AR93" s="388" t="s">
        <v>458</v>
      </c>
      <c r="AS93" s="388" t="s">
        <v>458</v>
      </c>
      <c r="AT93" s="388" t="s">
        <v>458</v>
      </c>
      <c r="AU93" s="388" t="s">
        <v>458</v>
      </c>
      <c r="AV93" s="388" t="s">
        <v>458</v>
      </c>
      <c r="AW93" s="388" t="s">
        <v>458</v>
      </c>
      <c r="AX93" s="388" t="s">
        <v>458</v>
      </c>
      <c r="AY93" s="388" t="s">
        <v>458</v>
      </c>
      <c r="AZ93" s="374" t="s">
        <v>459</v>
      </c>
      <c r="BA93" s="374" t="s">
        <v>458</v>
      </c>
      <c r="BB93" s="411" t="s">
        <v>471</v>
      </c>
      <c r="BC93" s="374" t="s">
        <v>459</v>
      </c>
      <c r="BD93" s="374" t="s">
        <v>459</v>
      </c>
      <c r="BE93" s="26"/>
      <c r="BF93" s="388" t="s">
        <v>458</v>
      </c>
      <c r="BG93" s="388" t="s">
        <v>458</v>
      </c>
      <c r="BH93" s="388" t="s">
        <v>458</v>
      </c>
      <c r="BI93" s="388" t="s">
        <v>458</v>
      </c>
      <c r="BJ93" s="388" t="s">
        <v>458</v>
      </c>
      <c r="BK93" s="388" t="s">
        <v>458</v>
      </c>
      <c r="BL93" s="388" t="s">
        <v>458</v>
      </c>
      <c r="BM93" s="388" t="s">
        <v>458</v>
      </c>
      <c r="BN93" s="388" t="s">
        <v>458</v>
      </c>
      <c r="BO93" s="388" t="s">
        <v>458</v>
      </c>
      <c r="BP93" s="374" t="s">
        <v>459</v>
      </c>
      <c r="BQ93" s="374" t="s">
        <v>459</v>
      </c>
      <c r="BR93" s="374" t="s">
        <v>459</v>
      </c>
      <c r="BS93" s="26"/>
      <c r="BT93" s="354" t="s">
        <v>461</v>
      </c>
      <c r="BU93" s="354" t="s">
        <v>461</v>
      </c>
      <c r="BV93" s="354" t="s">
        <v>461</v>
      </c>
      <c r="BW93" s="354" t="s">
        <v>461</v>
      </c>
      <c r="BX93" s="354" t="s">
        <v>461</v>
      </c>
      <c r="BY93" s="354" t="s">
        <v>461</v>
      </c>
      <c r="BZ93" s="354" t="s">
        <v>461</v>
      </c>
      <c r="CA93" s="354" t="s">
        <v>461</v>
      </c>
      <c r="CB93" s="358" t="s">
        <v>98</v>
      </c>
      <c r="CC93" s="358" t="s">
        <v>98</v>
      </c>
      <c r="CD93" s="358" t="s">
        <v>98</v>
      </c>
      <c r="CE93" s="358" t="s">
        <v>98</v>
      </c>
      <c r="CF93" s="358" t="s">
        <v>98</v>
      </c>
      <c r="CG93" s="26"/>
      <c r="CH93" s="388" t="s">
        <v>458</v>
      </c>
      <c r="CI93" s="388" t="s">
        <v>458</v>
      </c>
      <c r="CJ93" s="388" t="s">
        <v>458</v>
      </c>
      <c r="CK93" s="388" t="s">
        <v>458</v>
      </c>
      <c r="CL93" s="388" t="s">
        <v>458</v>
      </c>
      <c r="CM93" s="388" t="s">
        <v>458</v>
      </c>
      <c r="CN93" s="388" t="s">
        <v>458</v>
      </c>
      <c r="CO93" s="388" t="s">
        <v>458</v>
      </c>
      <c r="CP93" s="388" t="s">
        <v>459</v>
      </c>
      <c r="CQ93" s="388" t="s">
        <v>458</v>
      </c>
      <c r="CR93" s="374" t="s">
        <v>459</v>
      </c>
      <c r="CS93" s="374" t="s">
        <v>459</v>
      </c>
      <c r="CT93" s="374" t="s">
        <v>459</v>
      </c>
      <c r="CU93" s="26"/>
      <c r="CV93" s="388" t="s">
        <v>458</v>
      </c>
      <c r="CW93" s="388" t="s">
        <v>458</v>
      </c>
      <c r="CX93" s="388" t="s">
        <v>458</v>
      </c>
      <c r="CY93" s="388" t="s">
        <v>458</v>
      </c>
      <c r="CZ93" s="388" t="s">
        <v>458</v>
      </c>
      <c r="DA93" s="388" t="s">
        <v>458</v>
      </c>
      <c r="DB93" s="388" t="s">
        <v>458</v>
      </c>
      <c r="DC93" s="388" t="s">
        <v>458</v>
      </c>
      <c r="DD93" s="398" t="s">
        <v>459</v>
      </c>
      <c r="DE93" s="388" t="s">
        <v>458</v>
      </c>
      <c r="DF93" s="401" t="s">
        <v>459</v>
      </c>
      <c r="DG93" s="401" t="s">
        <v>459</v>
      </c>
      <c r="DH93" s="399" t="s">
        <v>459</v>
      </c>
    </row>
    <row r="94" spans="1:112" ht="89.25">
      <c r="A94" s="708" t="s">
        <v>53</v>
      </c>
      <c r="B94" s="354" t="s">
        <v>461</v>
      </c>
      <c r="C94" s="354" t="s">
        <v>461</v>
      </c>
      <c r="D94" s="354" t="s">
        <v>461</v>
      </c>
      <c r="E94" s="354" t="s">
        <v>461</v>
      </c>
      <c r="F94" s="354" t="s">
        <v>461</v>
      </c>
      <c r="G94" s="354" t="s">
        <v>461</v>
      </c>
      <c r="H94" s="354" t="s">
        <v>461</v>
      </c>
      <c r="I94" s="354" t="s">
        <v>461</v>
      </c>
      <c r="J94" s="358" t="s">
        <v>98</v>
      </c>
      <c r="K94" s="358" t="s">
        <v>98</v>
      </c>
      <c r="L94" s="358" t="s">
        <v>98</v>
      </c>
      <c r="M94" s="358" t="s">
        <v>98</v>
      </c>
      <c r="N94" s="358" t="s">
        <v>98</v>
      </c>
      <c r="P94" s="349" t="s">
        <v>457</v>
      </c>
      <c r="Q94" s="349" t="s">
        <v>457</v>
      </c>
      <c r="R94" s="349" t="s">
        <v>457</v>
      </c>
      <c r="S94" s="349" t="s">
        <v>457</v>
      </c>
      <c r="T94" s="351" t="s">
        <v>458</v>
      </c>
      <c r="U94" s="352" t="s">
        <v>458</v>
      </c>
      <c r="V94" s="351" t="s">
        <v>458</v>
      </c>
      <c r="W94" s="352" t="s">
        <v>458</v>
      </c>
      <c r="X94" s="363" t="s">
        <v>459</v>
      </c>
      <c r="Y94" s="351" t="s">
        <v>458</v>
      </c>
      <c r="Z94" s="370" t="s">
        <v>459</v>
      </c>
      <c r="AA94" s="370" t="s">
        <v>459</v>
      </c>
      <c r="AB94" s="370" t="s">
        <v>459</v>
      </c>
      <c r="AD94" s="354" t="s">
        <v>461</v>
      </c>
      <c r="AE94" s="354" t="s">
        <v>461</v>
      </c>
      <c r="AF94" s="354" t="s">
        <v>461</v>
      </c>
      <c r="AG94" s="354" t="s">
        <v>461</v>
      </c>
      <c r="AH94" s="354" t="s">
        <v>461</v>
      </c>
      <c r="AI94" s="354" t="s">
        <v>461</v>
      </c>
      <c r="AJ94" s="354" t="s">
        <v>461</v>
      </c>
      <c r="AK94" s="354" t="s">
        <v>461</v>
      </c>
      <c r="AL94" s="358" t="s">
        <v>98</v>
      </c>
      <c r="AM94" s="358" t="s">
        <v>98</v>
      </c>
      <c r="AN94" s="358" t="s">
        <v>98</v>
      </c>
      <c r="AO94" s="358" t="s">
        <v>98</v>
      </c>
      <c r="AP94" s="358" t="s">
        <v>98</v>
      </c>
      <c r="AQ94" s="26"/>
      <c r="AR94" s="388" t="s">
        <v>458</v>
      </c>
      <c r="AS94" s="388" t="s">
        <v>458</v>
      </c>
      <c r="AT94" s="388" t="s">
        <v>458</v>
      </c>
      <c r="AU94" s="388" t="s">
        <v>458</v>
      </c>
      <c r="AV94" s="388" t="s">
        <v>458</v>
      </c>
      <c r="AW94" s="388" t="s">
        <v>458</v>
      </c>
      <c r="AX94" s="388" t="s">
        <v>458</v>
      </c>
      <c r="AY94" s="388" t="s">
        <v>458</v>
      </c>
      <c r="AZ94" s="374" t="s">
        <v>459</v>
      </c>
      <c r="BA94" s="374" t="s">
        <v>458</v>
      </c>
      <c r="BB94" s="411" t="s">
        <v>471</v>
      </c>
      <c r="BC94" s="374" t="s">
        <v>459</v>
      </c>
      <c r="BD94" s="374" t="s">
        <v>459</v>
      </c>
      <c r="BE94" s="26"/>
      <c r="BF94" s="388" t="s">
        <v>458</v>
      </c>
      <c r="BG94" s="388" t="s">
        <v>458</v>
      </c>
      <c r="BH94" s="388" t="s">
        <v>458</v>
      </c>
      <c r="BI94" s="388" t="s">
        <v>458</v>
      </c>
      <c r="BJ94" s="388" t="s">
        <v>458</v>
      </c>
      <c r="BK94" s="388" t="s">
        <v>458</v>
      </c>
      <c r="BL94" s="388" t="s">
        <v>458</v>
      </c>
      <c r="BM94" s="388" t="s">
        <v>458</v>
      </c>
      <c r="BN94" s="388" t="s">
        <v>458</v>
      </c>
      <c r="BO94" s="388" t="s">
        <v>458</v>
      </c>
      <c r="BP94" s="374" t="s">
        <v>459</v>
      </c>
      <c r="BQ94" s="374" t="s">
        <v>459</v>
      </c>
      <c r="BR94" s="374" t="s">
        <v>459</v>
      </c>
      <c r="BS94" s="26"/>
      <c r="BT94" s="354" t="s">
        <v>461</v>
      </c>
      <c r="BU94" s="354" t="s">
        <v>461</v>
      </c>
      <c r="BV94" s="354" t="s">
        <v>461</v>
      </c>
      <c r="BW94" s="354" t="s">
        <v>461</v>
      </c>
      <c r="BX94" s="354" t="s">
        <v>461</v>
      </c>
      <c r="BY94" s="354" t="s">
        <v>461</v>
      </c>
      <c r="BZ94" s="354" t="s">
        <v>461</v>
      </c>
      <c r="CA94" s="354" t="s">
        <v>461</v>
      </c>
      <c r="CB94" s="358" t="s">
        <v>98</v>
      </c>
      <c r="CC94" s="358" t="s">
        <v>98</v>
      </c>
      <c r="CD94" s="358" t="s">
        <v>98</v>
      </c>
      <c r="CE94" s="358" t="s">
        <v>98</v>
      </c>
      <c r="CF94" s="358" t="s">
        <v>98</v>
      </c>
      <c r="CG94" s="26"/>
      <c r="CH94" s="388" t="s">
        <v>458</v>
      </c>
      <c r="CI94" s="388" t="s">
        <v>458</v>
      </c>
      <c r="CJ94" s="388" t="s">
        <v>458</v>
      </c>
      <c r="CK94" s="388" t="s">
        <v>458</v>
      </c>
      <c r="CL94" s="388" t="s">
        <v>458</v>
      </c>
      <c r="CM94" s="388" t="s">
        <v>458</v>
      </c>
      <c r="CN94" s="388" t="s">
        <v>458</v>
      </c>
      <c r="CO94" s="388" t="s">
        <v>458</v>
      </c>
      <c r="CP94" s="388" t="s">
        <v>459</v>
      </c>
      <c r="CQ94" s="388" t="s">
        <v>458</v>
      </c>
      <c r="CR94" s="374" t="s">
        <v>459</v>
      </c>
      <c r="CS94" s="374" t="s">
        <v>459</v>
      </c>
      <c r="CT94" s="374" t="s">
        <v>459</v>
      </c>
      <c r="CU94" s="26"/>
      <c r="CV94" s="388" t="s">
        <v>458</v>
      </c>
      <c r="CW94" s="388" t="s">
        <v>458</v>
      </c>
      <c r="CX94" s="388" t="s">
        <v>458</v>
      </c>
      <c r="CY94" s="388" t="s">
        <v>458</v>
      </c>
      <c r="CZ94" s="388" t="s">
        <v>458</v>
      </c>
      <c r="DA94" s="388" t="s">
        <v>458</v>
      </c>
      <c r="DB94" s="388" t="s">
        <v>458</v>
      </c>
      <c r="DC94" s="388" t="s">
        <v>458</v>
      </c>
      <c r="DD94" s="398" t="s">
        <v>459</v>
      </c>
      <c r="DE94" s="388" t="s">
        <v>458</v>
      </c>
      <c r="DF94" s="401" t="s">
        <v>459</v>
      </c>
      <c r="DG94" s="401" t="s">
        <v>459</v>
      </c>
      <c r="DH94" s="399" t="s">
        <v>459</v>
      </c>
    </row>
    <row r="95" spans="1:112" ht="89.25">
      <c r="A95" s="708" t="s">
        <v>54</v>
      </c>
      <c r="B95" s="354" t="s">
        <v>461</v>
      </c>
      <c r="C95" s="354" t="s">
        <v>461</v>
      </c>
      <c r="D95" s="354" t="s">
        <v>461</v>
      </c>
      <c r="E95" s="354" t="s">
        <v>461</v>
      </c>
      <c r="F95" s="354" t="s">
        <v>461</v>
      </c>
      <c r="G95" s="354" t="s">
        <v>461</v>
      </c>
      <c r="H95" s="354" t="s">
        <v>461</v>
      </c>
      <c r="I95" s="354" t="s">
        <v>461</v>
      </c>
      <c r="J95" s="358" t="s">
        <v>98</v>
      </c>
      <c r="K95" s="358" t="s">
        <v>98</v>
      </c>
      <c r="L95" s="358" t="s">
        <v>98</v>
      </c>
      <c r="M95" s="358" t="s">
        <v>98</v>
      </c>
      <c r="N95" s="358" t="s">
        <v>98</v>
      </c>
      <c r="P95" s="349" t="s">
        <v>457</v>
      </c>
      <c r="Q95" s="349" t="s">
        <v>457</v>
      </c>
      <c r="R95" s="349" t="s">
        <v>457</v>
      </c>
      <c r="S95" s="349" t="s">
        <v>457</v>
      </c>
      <c r="T95" s="351" t="s">
        <v>458</v>
      </c>
      <c r="U95" s="352" t="s">
        <v>458</v>
      </c>
      <c r="V95" s="351" t="s">
        <v>458</v>
      </c>
      <c r="W95" s="352" t="s">
        <v>458</v>
      </c>
      <c r="X95" s="362" t="s">
        <v>459</v>
      </c>
      <c r="Y95" s="351" t="s">
        <v>458</v>
      </c>
      <c r="Z95" s="370" t="s">
        <v>459</v>
      </c>
      <c r="AA95" s="370" t="s">
        <v>459</v>
      </c>
      <c r="AB95" s="370" t="s">
        <v>459</v>
      </c>
      <c r="AD95" s="354" t="s">
        <v>461</v>
      </c>
      <c r="AE95" s="354" t="s">
        <v>461</v>
      </c>
      <c r="AF95" s="354" t="s">
        <v>461</v>
      </c>
      <c r="AG95" s="354" t="s">
        <v>461</v>
      </c>
      <c r="AH95" s="354" t="s">
        <v>461</v>
      </c>
      <c r="AI95" s="354" t="s">
        <v>461</v>
      </c>
      <c r="AJ95" s="354" t="s">
        <v>461</v>
      </c>
      <c r="AK95" s="354" t="s">
        <v>461</v>
      </c>
      <c r="AL95" s="358" t="s">
        <v>98</v>
      </c>
      <c r="AM95" s="358" t="s">
        <v>98</v>
      </c>
      <c r="AN95" s="358" t="s">
        <v>98</v>
      </c>
      <c r="AO95" s="358" t="s">
        <v>98</v>
      </c>
      <c r="AP95" s="358" t="s">
        <v>98</v>
      </c>
      <c r="AQ95" s="26"/>
      <c r="AR95" s="388" t="s">
        <v>458</v>
      </c>
      <c r="AS95" s="388" t="s">
        <v>458</v>
      </c>
      <c r="AT95" s="388" t="s">
        <v>458</v>
      </c>
      <c r="AU95" s="388" t="s">
        <v>458</v>
      </c>
      <c r="AV95" s="388" t="s">
        <v>458</v>
      </c>
      <c r="AW95" s="388" t="s">
        <v>458</v>
      </c>
      <c r="AX95" s="388" t="s">
        <v>458</v>
      </c>
      <c r="AY95" s="388" t="s">
        <v>458</v>
      </c>
      <c r="AZ95" s="374" t="s">
        <v>459</v>
      </c>
      <c r="BA95" s="374" t="s">
        <v>458</v>
      </c>
      <c r="BB95" s="411" t="s">
        <v>471</v>
      </c>
      <c r="BC95" s="374" t="s">
        <v>459</v>
      </c>
      <c r="BD95" s="374" t="s">
        <v>459</v>
      </c>
      <c r="BE95" s="26"/>
      <c r="BF95" s="388" t="s">
        <v>458</v>
      </c>
      <c r="BG95" s="388" t="s">
        <v>458</v>
      </c>
      <c r="BH95" s="388" t="s">
        <v>458</v>
      </c>
      <c r="BI95" s="388" t="s">
        <v>458</v>
      </c>
      <c r="BJ95" s="388" t="s">
        <v>458</v>
      </c>
      <c r="BK95" s="388" t="s">
        <v>458</v>
      </c>
      <c r="BL95" s="388" t="s">
        <v>458</v>
      </c>
      <c r="BM95" s="388" t="s">
        <v>458</v>
      </c>
      <c r="BN95" s="388" t="s">
        <v>458</v>
      </c>
      <c r="BO95" s="388" t="s">
        <v>458</v>
      </c>
      <c r="BP95" s="374" t="s">
        <v>459</v>
      </c>
      <c r="BQ95" s="374" t="s">
        <v>459</v>
      </c>
      <c r="BR95" s="374" t="s">
        <v>459</v>
      </c>
      <c r="BS95" s="26"/>
      <c r="BT95" s="354" t="s">
        <v>461</v>
      </c>
      <c r="BU95" s="354" t="s">
        <v>461</v>
      </c>
      <c r="BV95" s="354" t="s">
        <v>461</v>
      </c>
      <c r="BW95" s="354" t="s">
        <v>461</v>
      </c>
      <c r="BX95" s="354" t="s">
        <v>461</v>
      </c>
      <c r="BY95" s="354" t="s">
        <v>461</v>
      </c>
      <c r="BZ95" s="354" t="s">
        <v>461</v>
      </c>
      <c r="CA95" s="354" t="s">
        <v>461</v>
      </c>
      <c r="CB95" s="358" t="s">
        <v>98</v>
      </c>
      <c r="CC95" s="358" t="s">
        <v>98</v>
      </c>
      <c r="CD95" s="358" t="s">
        <v>98</v>
      </c>
      <c r="CE95" s="358" t="s">
        <v>98</v>
      </c>
      <c r="CF95" s="358" t="s">
        <v>98</v>
      </c>
      <c r="CG95" s="26"/>
      <c r="CH95" s="388" t="s">
        <v>458</v>
      </c>
      <c r="CI95" s="388" t="s">
        <v>458</v>
      </c>
      <c r="CJ95" s="388" t="s">
        <v>458</v>
      </c>
      <c r="CK95" s="388" t="s">
        <v>458</v>
      </c>
      <c r="CL95" s="388" t="s">
        <v>458</v>
      </c>
      <c r="CM95" s="388" t="s">
        <v>458</v>
      </c>
      <c r="CN95" s="388" t="s">
        <v>458</v>
      </c>
      <c r="CO95" s="388" t="s">
        <v>458</v>
      </c>
      <c r="CP95" s="388" t="s">
        <v>459</v>
      </c>
      <c r="CQ95" s="388" t="s">
        <v>458</v>
      </c>
      <c r="CR95" s="374" t="s">
        <v>459</v>
      </c>
      <c r="CS95" s="374" t="s">
        <v>459</v>
      </c>
      <c r="CT95" s="374" t="s">
        <v>459</v>
      </c>
      <c r="CU95" s="26"/>
      <c r="CV95" s="388" t="s">
        <v>458</v>
      </c>
      <c r="CW95" s="388" t="s">
        <v>458</v>
      </c>
      <c r="CX95" s="388" t="s">
        <v>458</v>
      </c>
      <c r="CY95" s="388" t="s">
        <v>458</v>
      </c>
      <c r="CZ95" s="388" t="s">
        <v>458</v>
      </c>
      <c r="DA95" s="388" t="s">
        <v>458</v>
      </c>
      <c r="DB95" s="388" t="s">
        <v>458</v>
      </c>
      <c r="DC95" s="388" t="s">
        <v>458</v>
      </c>
      <c r="DD95" s="398" t="s">
        <v>459</v>
      </c>
      <c r="DE95" s="388" t="s">
        <v>458</v>
      </c>
      <c r="DF95" s="401" t="s">
        <v>459</v>
      </c>
      <c r="DG95" s="401" t="s">
        <v>459</v>
      </c>
      <c r="DH95" s="399" t="s">
        <v>459</v>
      </c>
    </row>
    <row r="96" spans="1:112" ht="89.25">
      <c r="A96" s="708" t="s">
        <v>55</v>
      </c>
      <c r="B96" s="354" t="s">
        <v>461</v>
      </c>
      <c r="C96" s="354" t="s">
        <v>461</v>
      </c>
      <c r="D96" s="354" t="s">
        <v>461</v>
      </c>
      <c r="E96" s="354" t="s">
        <v>461</v>
      </c>
      <c r="F96" s="354" t="s">
        <v>461</v>
      </c>
      <c r="G96" s="354" t="s">
        <v>461</v>
      </c>
      <c r="H96" s="354" t="s">
        <v>461</v>
      </c>
      <c r="I96" s="354" t="s">
        <v>461</v>
      </c>
      <c r="J96" s="358" t="s">
        <v>98</v>
      </c>
      <c r="K96" s="358" t="s">
        <v>98</v>
      </c>
      <c r="L96" s="358" t="s">
        <v>98</v>
      </c>
      <c r="M96" s="358" t="s">
        <v>98</v>
      </c>
      <c r="N96" s="358" t="s">
        <v>98</v>
      </c>
      <c r="P96" s="349" t="s">
        <v>457</v>
      </c>
      <c r="Q96" s="349" t="s">
        <v>457</v>
      </c>
      <c r="R96" s="349" t="s">
        <v>457</v>
      </c>
      <c r="S96" s="349" t="s">
        <v>457</v>
      </c>
      <c r="T96" s="351" t="s">
        <v>458</v>
      </c>
      <c r="U96" s="352" t="s">
        <v>458</v>
      </c>
      <c r="V96" s="351" t="s">
        <v>458</v>
      </c>
      <c r="W96" s="352" t="s">
        <v>458</v>
      </c>
      <c r="X96" s="362" t="s">
        <v>459</v>
      </c>
      <c r="Y96" s="351" t="s">
        <v>458</v>
      </c>
      <c r="Z96" s="370" t="s">
        <v>459</v>
      </c>
      <c r="AA96" s="370" t="s">
        <v>459</v>
      </c>
      <c r="AB96" s="370" t="s">
        <v>459</v>
      </c>
      <c r="AD96" s="354" t="s">
        <v>461</v>
      </c>
      <c r="AE96" s="354" t="s">
        <v>461</v>
      </c>
      <c r="AF96" s="354" t="s">
        <v>461</v>
      </c>
      <c r="AG96" s="354" t="s">
        <v>461</v>
      </c>
      <c r="AH96" s="354" t="s">
        <v>461</v>
      </c>
      <c r="AI96" s="354" t="s">
        <v>461</v>
      </c>
      <c r="AJ96" s="354" t="s">
        <v>461</v>
      </c>
      <c r="AK96" s="354" t="s">
        <v>461</v>
      </c>
      <c r="AL96" s="358" t="s">
        <v>98</v>
      </c>
      <c r="AM96" s="358" t="s">
        <v>98</v>
      </c>
      <c r="AN96" s="358" t="s">
        <v>98</v>
      </c>
      <c r="AO96" s="358" t="s">
        <v>98</v>
      </c>
      <c r="AP96" s="358" t="s">
        <v>98</v>
      </c>
      <c r="AQ96" s="26"/>
      <c r="AR96" s="388" t="s">
        <v>458</v>
      </c>
      <c r="AS96" s="388" t="s">
        <v>458</v>
      </c>
      <c r="AT96" s="388" t="s">
        <v>458</v>
      </c>
      <c r="AU96" s="388" t="s">
        <v>458</v>
      </c>
      <c r="AV96" s="388" t="s">
        <v>458</v>
      </c>
      <c r="AW96" s="388" t="s">
        <v>458</v>
      </c>
      <c r="AX96" s="388" t="s">
        <v>458</v>
      </c>
      <c r="AY96" s="388" t="s">
        <v>458</v>
      </c>
      <c r="AZ96" s="374" t="s">
        <v>459</v>
      </c>
      <c r="BA96" s="374" t="s">
        <v>458</v>
      </c>
      <c r="BB96" s="411" t="s">
        <v>471</v>
      </c>
      <c r="BC96" s="374" t="s">
        <v>459</v>
      </c>
      <c r="BD96" s="374" t="s">
        <v>459</v>
      </c>
      <c r="BE96" s="26"/>
      <c r="BF96" s="388" t="s">
        <v>458</v>
      </c>
      <c r="BG96" s="388" t="s">
        <v>458</v>
      </c>
      <c r="BH96" s="388" t="s">
        <v>458</v>
      </c>
      <c r="BI96" s="388" t="s">
        <v>458</v>
      </c>
      <c r="BJ96" s="388" t="s">
        <v>458</v>
      </c>
      <c r="BK96" s="388" t="s">
        <v>458</v>
      </c>
      <c r="BL96" s="388" t="s">
        <v>458</v>
      </c>
      <c r="BM96" s="388" t="s">
        <v>458</v>
      </c>
      <c r="BN96" s="388" t="s">
        <v>458</v>
      </c>
      <c r="BO96" s="388" t="s">
        <v>458</v>
      </c>
      <c r="BP96" s="374" t="s">
        <v>459</v>
      </c>
      <c r="BQ96" s="374" t="s">
        <v>459</v>
      </c>
      <c r="BR96" s="374" t="s">
        <v>459</v>
      </c>
      <c r="BS96" s="26"/>
      <c r="BT96" s="354" t="s">
        <v>461</v>
      </c>
      <c r="BU96" s="354" t="s">
        <v>461</v>
      </c>
      <c r="BV96" s="354" t="s">
        <v>461</v>
      </c>
      <c r="BW96" s="354" t="s">
        <v>461</v>
      </c>
      <c r="BX96" s="354" t="s">
        <v>461</v>
      </c>
      <c r="BY96" s="354" t="s">
        <v>461</v>
      </c>
      <c r="BZ96" s="354" t="s">
        <v>461</v>
      </c>
      <c r="CA96" s="354" t="s">
        <v>461</v>
      </c>
      <c r="CB96" s="358" t="s">
        <v>98</v>
      </c>
      <c r="CC96" s="358" t="s">
        <v>98</v>
      </c>
      <c r="CD96" s="358" t="s">
        <v>98</v>
      </c>
      <c r="CE96" s="358" t="s">
        <v>98</v>
      </c>
      <c r="CF96" s="358" t="s">
        <v>98</v>
      </c>
      <c r="CG96" s="26"/>
      <c r="CH96" s="388" t="s">
        <v>458</v>
      </c>
      <c r="CI96" s="388" t="s">
        <v>458</v>
      </c>
      <c r="CJ96" s="388" t="s">
        <v>458</v>
      </c>
      <c r="CK96" s="388" t="s">
        <v>458</v>
      </c>
      <c r="CL96" s="388" t="s">
        <v>458</v>
      </c>
      <c r="CM96" s="388" t="s">
        <v>458</v>
      </c>
      <c r="CN96" s="388" t="s">
        <v>458</v>
      </c>
      <c r="CO96" s="388" t="s">
        <v>458</v>
      </c>
      <c r="CP96" s="388" t="s">
        <v>459</v>
      </c>
      <c r="CQ96" s="388" t="s">
        <v>458</v>
      </c>
      <c r="CR96" s="374" t="s">
        <v>459</v>
      </c>
      <c r="CS96" s="374" t="s">
        <v>459</v>
      </c>
      <c r="CT96" s="374" t="s">
        <v>459</v>
      </c>
      <c r="CU96" s="26"/>
      <c r="CV96" s="388" t="s">
        <v>458</v>
      </c>
      <c r="CW96" s="388" t="s">
        <v>458</v>
      </c>
      <c r="CX96" s="388" t="s">
        <v>458</v>
      </c>
      <c r="CY96" s="388" t="s">
        <v>458</v>
      </c>
      <c r="CZ96" s="388" t="s">
        <v>458</v>
      </c>
      <c r="DA96" s="388" t="s">
        <v>458</v>
      </c>
      <c r="DB96" s="388" t="s">
        <v>458</v>
      </c>
      <c r="DC96" s="388" t="s">
        <v>458</v>
      </c>
      <c r="DD96" s="398" t="s">
        <v>459</v>
      </c>
      <c r="DE96" s="388" t="s">
        <v>458</v>
      </c>
      <c r="DF96" s="401" t="s">
        <v>459</v>
      </c>
      <c r="DG96" s="401" t="s">
        <v>459</v>
      </c>
      <c r="DH96" s="399" t="s">
        <v>459</v>
      </c>
    </row>
    <row r="97" spans="1:1149" ht="38.25">
      <c r="A97" s="708" t="s">
        <v>66</v>
      </c>
      <c r="B97" s="354" t="s">
        <v>461</v>
      </c>
      <c r="C97" s="354" t="s">
        <v>461</v>
      </c>
      <c r="D97" s="354" t="s">
        <v>461</v>
      </c>
      <c r="E97" s="354" t="s">
        <v>461</v>
      </c>
      <c r="F97" s="354" t="s">
        <v>461</v>
      </c>
      <c r="G97" s="354" t="s">
        <v>461</v>
      </c>
      <c r="H97" s="354" t="s">
        <v>461</v>
      </c>
      <c r="I97" s="360" t="s">
        <v>91</v>
      </c>
      <c r="J97" s="354" t="s">
        <v>552</v>
      </c>
      <c r="K97" s="354" t="s">
        <v>552</v>
      </c>
      <c r="L97" s="354" t="s">
        <v>552</v>
      </c>
      <c r="M97" s="360" t="s">
        <v>91</v>
      </c>
      <c r="N97" s="354" t="s">
        <v>552</v>
      </c>
      <c r="P97" s="354" t="s">
        <v>461</v>
      </c>
      <c r="Q97" s="354" t="s">
        <v>461</v>
      </c>
      <c r="R97" s="354" t="s">
        <v>461</v>
      </c>
      <c r="S97" s="354" t="s">
        <v>461</v>
      </c>
      <c r="T97" s="354" t="s">
        <v>461</v>
      </c>
      <c r="U97" s="354" t="s">
        <v>461</v>
      </c>
      <c r="V97" s="354" t="s">
        <v>461</v>
      </c>
      <c r="W97" s="360" t="s">
        <v>91</v>
      </c>
      <c r="X97" s="354" t="s">
        <v>552</v>
      </c>
      <c r="Y97" s="354" t="s">
        <v>552</v>
      </c>
      <c r="Z97" s="354" t="s">
        <v>552</v>
      </c>
      <c r="AA97" s="360" t="s">
        <v>91</v>
      </c>
      <c r="AB97" s="354" t="s">
        <v>552</v>
      </c>
      <c r="AD97" s="354" t="s">
        <v>461</v>
      </c>
      <c r="AE97" s="354" t="s">
        <v>461</v>
      </c>
      <c r="AF97" s="354" t="s">
        <v>461</v>
      </c>
      <c r="AG97" s="354" t="s">
        <v>461</v>
      </c>
      <c r="AH97" s="354" t="s">
        <v>461</v>
      </c>
      <c r="AI97" s="354" t="s">
        <v>461</v>
      </c>
      <c r="AJ97" s="354" t="s">
        <v>461</v>
      </c>
      <c r="AK97" s="360" t="s">
        <v>91</v>
      </c>
      <c r="AL97" s="354" t="s">
        <v>552</v>
      </c>
      <c r="AM97" s="354" t="s">
        <v>552</v>
      </c>
      <c r="AN97" s="354" t="s">
        <v>552</v>
      </c>
      <c r="AO97" s="360" t="s">
        <v>91</v>
      </c>
      <c r="AP97" s="354" t="s">
        <v>552</v>
      </c>
      <c r="AQ97" s="26"/>
      <c r="AR97" s="78" t="e">
        <f t="shared" ref="AR97:AW97" si="0">AS97*AR25/AS25</f>
        <v>#VALUE!</v>
      </c>
      <c r="AS97" s="78" t="e">
        <f t="shared" si="0"/>
        <v>#VALUE!</v>
      </c>
      <c r="AT97" s="78" t="e">
        <f t="shared" si="0"/>
        <v>#VALUE!</v>
      </c>
      <c r="AU97" s="78" t="e">
        <f t="shared" si="0"/>
        <v>#VALUE!</v>
      </c>
      <c r="AV97" s="78" t="e">
        <f t="shared" si="0"/>
        <v>#VALUE!</v>
      </c>
      <c r="AW97" s="78" t="e">
        <f t="shared" si="0"/>
        <v>#VALUE!</v>
      </c>
      <c r="AX97" s="78" t="e">
        <f>AY97*AX25/AY25</f>
        <v>#VALUE!</v>
      </c>
      <c r="AY97" s="360" t="s">
        <v>91</v>
      </c>
      <c r="AZ97" s="354" t="s">
        <v>552</v>
      </c>
      <c r="BA97" s="354" t="s">
        <v>552</v>
      </c>
      <c r="BB97" s="354" t="s">
        <v>552</v>
      </c>
      <c r="BC97" s="360" t="s">
        <v>91</v>
      </c>
      <c r="BD97" s="354" t="s">
        <v>552</v>
      </c>
      <c r="BE97" s="26"/>
      <c r="BF97" s="323" t="e">
        <f t="shared" ref="BF97:BK97" si="1">BG97*BF25/BG25</f>
        <v>#VALUE!</v>
      </c>
      <c r="BG97" s="323" t="e">
        <f t="shared" si="1"/>
        <v>#VALUE!</v>
      </c>
      <c r="BH97" s="323" t="e">
        <f t="shared" si="1"/>
        <v>#VALUE!</v>
      </c>
      <c r="BI97" s="323" t="e">
        <f t="shared" si="1"/>
        <v>#VALUE!</v>
      </c>
      <c r="BJ97" s="323" t="e">
        <f t="shared" si="1"/>
        <v>#VALUE!</v>
      </c>
      <c r="BK97" s="323" t="e">
        <f t="shared" si="1"/>
        <v>#VALUE!</v>
      </c>
      <c r="BL97" s="323" t="e">
        <f>BM97*BL25/BM25</f>
        <v>#VALUE!</v>
      </c>
      <c r="BM97" s="360" t="s">
        <v>91</v>
      </c>
      <c r="BN97" s="354" t="s">
        <v>552</v>
      </c>
      <c r="BO97" s="354" t="s">
        <v>552</v>
      </c>
      <c r="BP97" s="354" t="s">
        <v>552</v>
      </c>
      <c r="BQ97" s="360" t="s">
        <v>91</v>
      </c>
      <c r="BR97" s="354" t="s">
        <v>552</v>
      </c>
      <c r="BS97" s="26"/>
      <c r="BT97" s="354" t="s">
        <v>461</v>
      </c>
      <c r="BU97" s="354" t="s">
        <v>461</v>
      </c>
      <c r="BV97" s="354" t="s">
        <v>461</v>
      </c>
      <c r="BW97" s="354" t="s">
        <v>461</v>
      </c>
      <c r="BX97" s="354" t="s">
        <v>461</v>
      </c>
      <c r="BY97" s="354" t="s">
        <v>461</v>
      </c>
      <c r="BZ97" s="354" t="s">
        <v>461</v>
      </c>
      <c r="CA97" s="360" t="s">
        <v>91</v>
      </c>
      <c r="CB97" s="354" t="s">
        <v>552</v>
      </c>
      <c r="CC97" s="354" t="s">
        <v>552</v>
      </c>
      <c r="CD97" s="354" t="s">
        <v>552</v>
      </c>
      <c r="CE97" s="360" t="s">
        <v>91</v>
      </c>
      <c r="CF97" s="354" t="s">
        <v>552</v>
      </c>
      <c r="CG97" s="26"/>
      <c r="CH97" s="391" t="s">
        <v>461</v>
      </c>
      <c r="CI97" s="391" t="s">
        <v>461</v>
      </c>
      <c r="CJ97" s="391" t="s">
        <v>461</v>
      </c>
      <c r="CK97" s="391" t="s">
        <v>461</v>
      </c>
      <c r="CL97" s="391" t="s">
        <v>461</v>
      </c>
      <c r="CM97" s="391" t="s">
        <v>461</v>
      </c>
      <c r="CN97" s="391" t="s">
        <v>461</v>
      </c>
      <c r="CO97" s="360" t="s">
        <v>91</v>
      </c>
      <c r="CP97" s="354" t="s">
        <v>552</v>
      </c>
      <c r="CQ97" s="354" t="s">
        <v>552</v>
      </c>
      <c r="CR97" s="354" t="s">
        <v>552</v>
      </c>
      <c r="CS97" s="360" t="s">
        <v>91</v>
      </c>
      <c r="CT97" s="354" t="s">
        <v>552</v>
      </c>
      <c r="CU97" s="26"/>
      <c r="CV97" s="388" t="s">
        <v>458</v>
      </c>
      <c r="CW97" s="388" t="s">
        <v>458</v>
      </c>
      <c r="CX97" s="388" t="s">
        <v>458</v>
      </c>
      <c r="CY97" s="388" t="s">
        <v>458</v>
      </c>
      <c r="CZ97" s="388" t="s">
        <v>458</v>
      </c>
      <c r="DA97" s="388" t="s">
        <v>458</v>
      </c>
      <c r="DB97" s="388" t="s">
        <v>458</v>
      </c>
      <c r="DC97" s="360" t="s">
        <v>91</v>
      </c>
      <c r="DD97" s="354" t="s">
        <v>552</v>
      </c>
      <c r="DE97" s="354" t="s">
        <v>552</v>
      </c>
      <c r="DF97" s="354" t="s">
        <v>552</v>
      </c>
      <c r="DG97" s="360" t="s">
        <v>91</v>
      </c>
      <c r="DH97" s="354" t="s">
        <v>552</v>
      </c>
    </row>
    <row r="98" spans="1:1149" ht="89.25">
      <c r="A98" s="708" t="s">
        <v>71</v>
      </c>
      <c r="B98" s="354" t="s">
        <v>461</v>
      </c>
      <c r="C98" s="354" t="s">
        <v>461</v>
      </c>
      <c r="D98" s="354" t="s">
        <v>461</v>
      </c>
      <c r="E98" s="354" t="s">
        <v>461</v>
      </c>
      <c r="F98" s="354" t="s">
        <v>461</v>
      </c>
      <c r="G98" s="354" t="s">
        <v>461</v>
      </c>
      <c r="H98" s="354" t="s">
        <v>461</v>
      </c>
      <c r="I98" s="354" t="s">
        <v>461</v>
      </c>
      <c r="J98" s="358" t="s">
        <v>98</v>
      </c>
      <c r="K98" s="358" t="s">
        <v>98</v>
      </c>
      <c r="L98" s="358" t="s">
        <v>98</v>
      </c>
      <c r="M98" s="358" t="s">
        <v>98</v>
      </c>
      <c r="N98" s="358" t="s">
        <v>98</v>
      </c>
      <c r="P98" s="349" t="s">
        <v>457</v>
      </c>
      <c r="Q98" s="349" t="s">
        <v>457</v>
      </c>
      <c r="R98" s="349" t="s">
        <v>457</v>
      </c>
      <c r="S98" s="349" t="s">
        <v>457</v>
      </c>
      <c r="T98" s="351" t="s">
        <v>458</v>
      </c>
      <c r="U98" s="352" t="s">
        <v>458</v>
      </c>
      <c r="V98" s="351" t="s">
        <v>458</v>
      </c>
      <c r="W98" s="352" t="s">
        <v>458</v>
      </c>
      <c r="X98" s="362" t="s">
        <v>459</v>
      </c>
      <c r="Y98" s="351" t="s">
        <v>458</v>
      </c>
      <c r="Z98" s="370" t="s">
        <v>459</v>
      </c>
      <c r="AA98" s="370" t="s">
        <v>459</v>
      </c>
      <c r="AB98" s="370" t="s">
        <v>459</v>
      </c>
      <c r="AD98" s="354" t="s">
        <v>461</v>
      </c>
      <c r="AE98" s="354" t="s">
        <v>461</v>
      </c>
      <c r="AF98" s="354" t="s">
        <v>461</v>
      </c>
      <c r="AG98" s="354" t="s">
        <v>461</v>
      </c>
      <c r="AH98" s="354" t="s">
        <v>461</v>
      </c>
      <c r="AI98" s="354" t="s">
        <v>461</v>
      </c>
      <c r="AJ98" s="354" t="s">
        <v>461</v>
      </c>
      <c r="AK98" s="354" t="s">
        <v>461</v>
      </c>
      <c r="AL98" s="358" t="s">
        <v>98</v>
      </c>
      <c r="AM98" s="358" t="s">
        <v>98</v>
      </c>
      <c r="AN98" s="358" t="s">
        <v>98</v>
      </c>
      <c r="AO98" s="358" t="s">
        <v>98</v>
      </c>
      <c r="AP98" s="358" t="s">
        <v>98</v>
      </c>
      <c r="AQ98" s="26"/>
      <c r="AR98" s="388" t="s">
        <v>458</v>
      </c>
      <c r="AS98" s="388" t="s">
        <v>458</v>
      </c>
      <c r="AT98" s="388" t="s">
        <v>458</v>
      </c>
      <c r="AU98" s="388" t="s">
        <v>458</v>
      </c>
      <c r="AV98" s="388" t="s">
        <v>458</v>
      </c>
      <c r="AW98" s="388" t="s">
        <v>458</v>
      </c>
      <c r="AX98" s="388" t="s">
        <v>458</v>
      </c>
      <c r="AY98" s="388" t="s">
        <v>458</v>
      </c>
      <c r="AZ98" s="374" t="s">
        <v>459</v>
      </c>
      <c r="BA98" s="374" t="s">
        <v>458</v>
      </c>
      <c r="BB98" s="411" t="s">
        <v>471</v>
      </c>
      <c r="BC98" s="374" t="s">
        <v>459</v>
      </c>
      <c r="BD98" s="374" t="s">
        <v>459</v>
      </c>
      <c r="BE98" s="26"/>
      <c r="BF98" s="388" t="s">
        <v>458</v>
      </c>
      <c r="BG98" s="388" t="s">
        <v>458</v>
      </c>
      <c r="BH98" s="388" t="s">
        <v>458</v>
      </c>
      <c r="BI98" s="388" t="s">
        <v>458</v>
      </c>
      <c r="BJ98" s="388" t="s">
        <v>458</v>
      </c>
      <c r="BK98" s="388" t="s">
        <v>458</v>
      </c>
      <c r="BL98" s="388" t="s">
        <v>458</v>
      </c>
      <c r="BM98" s="388" t="s">
        <v>458</v>
      </c>
      <c r="BN98" s="388" t="s">
        <v>458</v>
      </c>
      <c r="BO98" s="388" t="s">
        <v>458</v>
      </c>
      <c r="BP98" s="374" t="s">
        <v>459</v>
      </c>
      <c r="BQ98" s="374" t="s">
        <v>459</v>
      </c>
      <c r="BR98" s="374" t="s">
        <v>459</v>
      </c>
      <c r="BS98" s="26"/>
      <c r="BT98" s="354" t="s">
        <v>461</v>
      </c>
      <c r="BU98" s="354" t="s">
        <v>461</v>
      </c>
      <c r="BV98" s="354" t="s">
        <v>461</v>
      </c>
      <c r="BW98" s="354" t="s">
        <v>461</v>
      </c>
      <c r="BX98" s="354" t="s">
        <v>461</v>
      </c>
      <c r="BY98" s="354" t="s">
        <v>461</v>
      </c>
      <c r="BZ98" s="354" t="s">
        <v>461</v>
      </c>
      <c r="CA98" s="354" t="s">
        <v>461</v>
      </c>
      <c r="CB98" s="358" t="s">
        <v>98</v>
      </c>
      <c r="CC98" s="358" t="s">
        <v>98</v>
      </c>
      <c r="CD98" s="358" t="s">
        <v>98</v>
      </c>
      <c r="CE98" s="358" t="s">
        <v>98</v>
      </c>
      <c r="CF98" s="358" t="s">
        <v>98</v>
      </c>
      <c r="CG98" s="26"/>
      <c r="CH98" s="388" t="s">
        <v>458</v>
      </c>
      <c r="CI98" s="388" t="s">
        <v>458</v>
      </c>
      <c r="CJ98" s="388" t="s">
        <v>458</v>
      </c>
      <c r="CK98" s="388" t="s">
        <v>458</v>
      </c>
      <c r="CL98" s="388" t="s">
        <v>458</v>
      </c>
      <c r="CM98" s="388" t="s">
        <v>458</v>
      </c>
      <c r="CN98" s="388" t="s">
        <v>458</v>
      </c>
      <c r="CO98" s="388" t="s">
        <v>458</v>
      </c>
      <c r="CP98" s="388" t="s">
        <v>459</v>
      </c>
      <c r="CQ98" s="388" t="s">
        <v>458</v>
      </c>
      <c r="CR98" s="374" t="s">
        <v>459</v>
      </c>
      <c r="CS98" s="374" t="s">
        <v>459</v>
      </c>
      <c r="CT98" s="374" t="s">
        <v>459</v>
      </c>
      <c r="CU98" s="26"/>
      <c r="CV98" s="388" t="s">
        <v>458</v>
      </c>
      <c r="CW98" s="388" t="s">
        <v>458</v>
      </c>
      <c r="CX98" s="388" t="s">
        <v>458</v>
      </c>
      <c r="CY98" s="388" t="s">
        <v>458</v>
      </c>
      <c r="CZ98" s="388" t="s">
        <v>458</v>
      </c>
      <c r="DA98" s="388" t="s">
        <v>458</v>
      </c>
      <c r="DB98" s="388" t="s">
        <v>458</v>
      </c>
      <c r="DC98" s="388" t="s">
        <v>458</v>
      </c>
      <c r="DD98" s="398" t="s">
        <v>459</v>
      </c>
      <c r="DE98" s="388" t="s">
        <v>458</v>
      </c>
      <c r="DF98" s="401" t="s">
        <v>459</v>
      </c>
      <c r="DG98" s="401" t="s">
        <v>459</v>
      </c>
      <c r="DH98" s="399" t="s">
        <v>459</v>
      </c>
    </row>
    <row r="99" spans="1:1149" ht="89.25">
      <c r="A99" s="708" t="s">
        <v>84</v>
      </c>
      <c r="B99" s="354" t="s">
        <v>461</v>
      </c>
      <c r="C99" s="354" t="s">
        <v>461</v>
      </c>
      <c r="D99" s="354" t="s">
        <v>461</v>
      </c>
      <c r="E99" s="354" t="s">
        <v>461</v>
      </c>
      <c r="F99" s="354" t="s">
        <v>461</v>
      </c>
      <c r="G99" s="354" t="s">
        <v>461</v>
      </c>
      <c r="H99" s="354" t="s">
        <v>461</v>
      </c>
      <c r="I99" s="354" t="s">
        <v>461</v>
      </c>
      <c r="J99" s="358" t="s">
        <v>98</v>
      </c>
      <c r="K99" s="358" t="s">
        <v>98</v>
      </c>
      <c r="L99" s="358" t="s">
        <v>98</v>
      </c>
      <c r="M99" s="358" t="s">
        <v>98</v>
      </c>
      <c r="N99" s="358" t="s">
        <v>98</v>
      </c>
      <c r="P99" s="354" t="s">
        <v>461</v>
      </c>
      <c r="Q99" s="354" t="s">
        <v>461</v>
      </c>
      <c r="R99" s="354" t="s">
        <v>461</v>
      </c>
      <c r="S99" s="354" t="s">
        <v>461</v>
      </c>
      <c r="T99" s="351" t="s">
        <v>458</v>
      </c>
      <c r="U99" s="352" t="s">
        <v>458</v>
      </c>
      <c r="V99" s="351" t="s">
        <v>458</v>
      </c>
      <c r="W99" s="352" t="s">
        <v>458</v>
      </c>
      <c r="X99" s="362" t="s">
        <v>459</v>
      </c>
      <c r="Y99" s="351" t="s">
        <v>458</v>
      </c>
      <c r="Z99" s="370" t="s">
        <v>459</v>
      </c>
      <c r="AA99" s="370" t="s">
        <v>459</v>
      </c>
      <c r="AB99" s="370" t="s">
        <v>459</v>
      </c>
      <c r="AD99" s="354" t="s">
        <v>461</v>
      </c>
      <c r="AE99" s="354" t="s">
        <v>461</v>
      </c>
      <c r="AF99" s="354" t="s">
        <v>461</v>
      </c>
      <c r="AG99" s="354" t="s">
        <v>461</v>
      </c>
      <c r="AH99" s="354" t="s">
        <v>461</v>
      </c>
      <c r="AI99" s="354" t="s">
        <v>461</v>
      </c>
      <c r="AJ99" s="354" t="s">
        <v>461</v>
      </c>
      <c r="AK99" s="354" t="s">
        <v>461</v>
      </c>
      <c r="AL99" s="358" t="s">
        <v>98</v>
      </c>
      <c r="AM99" s="358" t="s">
        <v>98</v>
      </c>
      <c r="AN99" s="358" t="s">
        <v>98</v>
      </c>
      <c r="AO99" s="358" t="s">
        <v>98</v>
      </c>
      <c r="AP99" s="358" t="s">
        <v>98</v>
      </c>
      <c r="AQ99" s="26"/>
      <c r="AR99" s="388" t="s">
        <v>458</v>
      </c>
      <c r="AS99" s="388" t="s">
        <v>458</v>
      </c>
      <c r="AT99" s="388" t="s">
        <v>458</v>
      </c>
      <c r="AU99" s="388" t="s">
        <v>458</v>
      </c>
      <c r="AV99" s="388" t="s">
        <v>458</v>
      </c>
      <c r="AW99" s="388" t="s">
        <v>458</v>
      </c>
      <c r="AX99" s="388" t="s">
        <v>458</v>
      </c>
      <c r="AY99" s="388" t="s">
        <v>458</v>
      </c>
      <c r="AZ99" s="374" t="s">
        <v>459</v>
      </c>
      <c r="BA99" s="374" t="s">
        <v>458</v>
      </c>
      <c r="BB99" s="411" t="s">
        <v>471</v>
      </c>
      <c r="BC99" s="374" t="s">
        <v>459</v>
      </c>
      <c r="BD99" s="374" t="s">
        <v>459</v>
      </c>
      <c r="BE99" s="26"/>
      <c r="BF99" s="388" t="s">
        <v>458</v>
      </c>
      <c r="BG99" s="388" t="s">
        <v>458</v>
      </c>
      <c r="BH99" s="388" t="s">
        <v>458</v>
      </c>
      <c r="BI99" s="388" t="s">
        <v>458</v>
      </c>
      <c r="BJ99" s="388" t="s">
        <v>458</v>
      </c>
      <c r="BK99" s="388" t="s">
        <v>458</v>
      </c>
      <c r="BL99" s="388" t="s">
        <v>458</v>
      </c>
      <c r="BM99" s="388" t="s">
        <v>458</v>
      </c>
      <c r="BN99" s="388" t="s">
        <v>458</v>
      </c>
      <c r="BO99" s="388" t="s">
        <v>458</v>
      </c>
      <c r="BP99" s="374" t="s">
        <v>459</v>
      </c>
      <c r="BQ99" s="374" t="s">
        <v>459</v>
      </c>
      <c r="BR99" s="374" t="s">
        <v>459</v>
      </c>
      <c r="BS99" s="26"/>
      <c r="BT99" s="354" t="s">
        <v>461</v>
      </c>
      <c r="BU99" s="354" t="s">
        <v>461</v>
      </c>
      <c r="BV99" s="354" t="s">
        <v>461</v>
      </c>
      <c r="BW99" s="354" t="s">
        <v>461</v>
      </c>
      <c r="BX99" s="354" t="s">
        <v>461</v>
      </c>
      <c r="BY99" s="354" t="s">
        <v>461</v>
      </c>
      <c r="BZ99" s="354" t="s">
        <v>461</v>
      </c>
      <c r="CA99" s="354" t="s">
        <v>461</v>
      </c>
      <c r="CB99" s="358" t="s">
        <v>98</v>
      </c>
      <c r="CC99" s="358" t="s">
        <v>98</v>
      </c>
      <c r="CD99" s="358" t="s">
        <v>98</v>
      </c>
      <c r="CE99" s="358" t="s">
        <v>98</v>
      </c>
      <c r="CF99" s="358" t="s">
        <v>98</v>
      </c>
      <c r="CG99" s="26"/>
      <c r="CH99" s="388" t="s">
        <v>458</v>
      </c>
      <c r="CI99" s="388" t="s">
        <v>458</v>
      </c>
      <c r="CJ99" s="388" t="s">
        <v>458</v>
      </c>
      <c r="CK99" s="388" t="s">
        <v>458</v>
      </c>
      <c r="CL99" s="388" t="s">
        <v>458</v>
      </c>
      <c r="CM99" s="388" t="s">
        <v>458</v>
      </c>
      <c r="CN99" s="388" t="s">
        <v>458</v>
      </c>
      <c r="CO99" s="388" t="s">
        <v>458</v>
      </c>
      <c r="CP99" s="388" t="s">
        <v>459</v>
      </c>
      <c r="CQ99" s="388" t="s">
        <v>458</v>
      </c>
      <c r="CR99" s="374" t="s">
        <v>459</v>
      </c>
      <c r="CS99" s="374" t="s">
        <v>459</v>
      </c>
      <c r="CT99" s="374" t="s">
        <v>459</v>
      </c>
      <c r="CU99" s="26"/>
      <c r="CV99" s="388" t="s">
        <v>458</v>
      </c>
      <c r="CW99" s="388" t="s">
        <v>458</v>
      </c>
      <c r="CX99" s="388" t="s">
        <v>458</v>
      </c>
      <c r="CY99" s="388" t="s">
        <v>458</v>
      </c>
      <c r="CZ99" s="388" t="s">
        <v>458</v>
      </c>
      <c r="DA99" s="388" t="s">
        <v>458</v>
      </c>
      <c r="DB99" s="388" t="s">
        <v>458</v>
      </c>
      <c r="DC99" s="388" t="s">
        <v>458</v>
      </c>
      <c r="DD99" s="398" t="s">
        <v>459</v>
      </c>
      <c r="DE99" s="388" t="s">
        <v>458</v>
      </c>
      <c r="DF99" s="401" t="s">
        <v>459</v>
      </c>
      <c r="DG99" s="401" t="s">
        <v>459</v>
      </c>
      <c r="DH99" s="399" t="s">
        <v>459</v>
      </c>
    </row>
    <row r="101" spans="1:1149" s="26" customFormat="1" ht="51">
      <c r="A101" s="711" t="s">
        <v>649</v>
      </c>
      <c r="B101" s="354" t="s">
        <v>461</v>
      </c>
      <c r="C101" s="354" t="s">
        <v>461</v>
      </c>
      <c r="D101" s="354" t="s">
        <v>461</v>
      </c>
      <c r="E101" s="354" t="s">
        <v>461</v>
      </c>
      <c r="F101" s="354" t="s">
        <v>461</v>
      </c>
      <c r="G101" s="354" t="s">
        <v>461</v>
      </c>
      <c r="H101" s="360" t="s">
        <v>91</v>
      </c>
      <c r="I101" s="411" t="s">
        <v>471</v>
      </c>
      <c r="J101" s="360" t="s">
        <v>91</v>
      </c>
      <c r="K101" s="411" t="s">
        <v>471</v>
      </c>
      <c r="L101" s="360" t="s">
        <v>91</v>
      </c>
      <c r="M101" s="411" t="s">
        <v>471</v>
      </c>
      <c r="N101" s="360" t="s">
        <v>91</v>
      </c>
      <c r="P101" s="354" t="s">
        <v>461</v>
      </c>
      <c r="Q101" s="354" t="s">
        <v>461</v>
      </c>
      <c r="R101" s="354" t="s">
        <v>461</v>
      </c>
      <c r="S101" s="354" t="s">
        <v>461</v>
      </c>
      <c r="T101" s="354" t="s">
        <v>461</v>
      </c>
      <c r="U101" s="354" t="s">
        <v>461</v>
      </c>
      <c r="V101" s="360" t="s">
        <v>91</v>
      </c>
      <c r="W101" s="411" t="s">
        <v>471</v>
      </c>
      <c r="X101" s="360" t="s">
        <v>91</v>
      </c>
      <c r="Y101" s="411" t="s">
        <v>471</v>
      </c>
      <c r="Z101" s="360" t="s">
        <v>91</v>
      </c>
      <c r="AA101" s="411" t="s">
        <v>471</v>
      </c>
      <c r="AB101" s="360" t="s">
        <v>91</v>
      </c>
      <c r="AD101" s="354" t="s">
        <v>461</v>
      </c>
      <c r="AE101" s="354" t="s">
        <v>461</v>
      </c>
      <c r="AF101" s="354" t="s">
        <v>461</v>
      </c>
      <c r="AG101" s="354" t="s">
        <v>461</v>
      </c>
      <c r="AH101" s="354" t="s">
        <v>461</v>
      </c>
      <c r="AI101" s="354" t="s">
        <v>461</v>
      </c>
      <c r="AJ101" s="360" t="s">
        <v>91</v>
      </c>
      <c r="AK101" s="411" t="s">
        <v>471</v>
      </c>
      <c r="AL101" s="360" t="s">
        <v>91</v>
      </c>
      <c r="AM101" s="411" t="s">
        <v>471</v>
      </c>
      <c r="AN101" s="360" t="s">
        <v>91</v>
      </c>
      <c r="AO101" s="411" t="s">
        <v>471</v>
      </c>
      <c r="AP101" s="360" t="s">
        <v>91</v>
      </c>
      <c r="AR101" s="354" t="s">
        <v>461</v>
      </c>
      <c r="AS101" s="354" t="s">
        <v>461</v>
      </c>
      <c r="AT101" s="354" t="s">
        <v>461</v>
      </c>
      <c r="AU101" s="354" t="s">
        <v>461</v>
      </c>
      <c r="AV101" s="354" t="s">
        <v>461</v>
      </c>
      <c r="AW101" s="354" t="s">
        <v>461</v>
      </c>
      <c r="AX101" s="360" t="s">
        <v>91</v>
      </c>
      <c r="AY101" s="411" t="s">
        <v>471</v>
      </c>
      <c r="AZ101" s="360" t="s">
        <v>91</v>
      </c>
      <c r="BA101" s="411" t="s">
        <v>471</v>
      </c>
      <c r="BB101" s="360" t="s">
        <v>91</v>
      </c>
      <c r="BC101" s="411" t="s">
        <v>471</v>
      </c>
      <c r="BD101" s="360" t="s">
        <v>91</v>
      </c>
      <c r="BF101" s="354" t="s">
        <v>461</v>
      </c>
      <c r="BG101" s="354" t="s">
        <v>461</v>
      </c>
      <c r="BH101" s="354" t="s">
        <v>461</v>
      </c>
      <c r="BI101" s="354" t="s">
        <v>461</v>
      </c>
      <c r="BJ101" s="354" t="s">
        <v>461</v>
      </c>
      <c r="BK101" s="354" t="s">
        <v>461</v>
      </c>
      <c r="BL101" s="360" t="s">
        <v>91</v>
      </c>
      <c r="BM101" s="411" t="s">
        <v>471</v>
      </c>
      <c r="BN101" s="360" t="s">
        <v>91</v>
      </c>
      <c r="BO101" s="411" t="s">
        <v>471</v>
      </c>
      <c r="BP101" s="360" t="s">
        <v>91</v>
      </c>
      <c r="BQ101" s="411" t="s">
        <v>471</v>
      </c>
      <c r="BR101" s="360" t="s">
        <v>91</v>
      </c>
      <c r="BT101" s="354" t="s">
        <v>461</v>
      </c>
      <c r="BU101" s="354" t="s">
        <v>461</v>
      </c>
      <c r="BV101" s="354" t="s">
        <v>461</v>
      </c>
      <c r="BW101" s="354" t="s">
        <v>461</v>
      </c>
      <c r="BX101" s="354" t="s">
        <v>461</v>
      </c>
      <c r="BY101" s="354" t="s">
        <v>461</v>
      </c>
      <c r="BZ101" s="360" t="s">
        <v>91</v>
      </c>
      <c r="CA101" s="411" t="s">
        <v>471</v>
      </c>
      <c r="CB101" s="360" t="s">
        <v>91</v>
      </c>
      <c r="CC101" s="411" t="s">
        <v>471</v>
      </c>
      <c r="CD101" s="360" t="s">
        <v>91</v>
      </c>
      <c r="CE101" s="411" t="s">
        <v>471</v>
      </c>
      <c r="CF101" s="360" t="s">
        <v>91</v>
      </c>
      <c r="CH101" s="354" t="s">
        <v>461</v>
      </c>
      <c r="CI101" s="354" t="s">
        <v>461</v>
      </c>
      <c r="CJ101" s="354" t="s">
        <v>461</v>
      </c>
      <c r="CK101" s="354" t="s">
        <v>461</v>
      </c>
      <c r="CL101" s="354" t="s">
        <v>461</v>
      </c>
      <c r="CM101" s="354" t="s">
        <v>461</v>
      </c>
      <c r="CN101" s="360" t="s">
        <v>91</v>
      </c>
      <c r="CO101" s="411" t="s">
        <v>471</v>
      </c>
      <c r="CP101" s="360" t="s">
        <v>91</v>
      </c>
      <c r="CQ101" s="411" t="s">
        <v>471</v>
      </c>
      <c r="CR101" s="360" t="s">
        <v>91</v>
      </c>
      <c r="CS101" s="411" t="s">
        <v>471</v>
      </c>
      <c r="CT101" s="360" t="s">
        <v>91</v>
      </c>
      <c r="CV101" s="354" t="s">
        <v>461</v>
      </c>
      <c r="CW101" s="354" t="s">
        <v>461</v>
      </c>
      <c r="CX101" s="354" t="s">
        <v>461</v>
      </c>
      <c r="CY101" s="354" t="s">
        <v>461</v>
      </c>
      <c r="CZ101" s="354" t="s">
        <v>461</v>
      </c>
      <c r="DA101" s="354" t="s">
        <v>461</v>
      </c>
      <c r="DB101" s="360" t="s">
        <v>91</v>
      </c>
      <c r="DC101" s="411" t="s">
        <v>471</v>
      </c>
      <c r="DD101" s="360" t="s">
        <v>91</v>
      </c>
      <c r="DE101" s="411" t="s">
        <v>471</v>
      </c>
      <c r="DF101" s="360" t="s">
        <v>91</v>
      </c>
      <c r="DG101" s="411" t="s">
        <v>471</v>
      </c>
      <c r="DH101" s="360" t="s">
        <v>91</v>
      </c>
      <c r="DI101" s="110"/>
      <c r="DJ101" s="110"/>
      <c r="DK101" s="110"/>
      <c r="DL101" s="110"/>
      <c r="DM101" s="110"/>
      <c r="DN101" s="110"/>
      <c r="DO101" s="110"/>
      <c r="DP101" s="110"/>
      <c r="DQ101" s="110"/>
      <c r="DR101" s="110"/>
      <c r="DS101" s="110"/>
      <c r="DT101" s="110"/>
      <c r="DU101" s="110"/>
      <c r="DV101" s="110"/>
      <c r="DW101" s="110"/>
      <c r="DX101" s="110"/>
      <c r="DY101" s="110"/>
      <c r="DZ101" s="110"/>
      <c r="EA101" s="110"/>
      <c r="EB101" s="110"/>
      <c r="EC101" s="110"/>
      <c r="ED101" s="110"/>
      <c r="EE101" s="110"/>
      <c r="EF101" s="110"/>
      <c r="EG101" s="110"/>
      <c r="EH101" s="110"/>
      <c r="EI101" s="110"/>
      <c r="EJ101" s="110"/>
      <c r="EK101" s="110"/>
      <c r="EL101" s="110"/>
      <c r="EM101" s="110"/>
      <c r="EN101" s="110"/>
      <c r="EO101" s="110"/>
      <c r="EP101" s="110"/>
      <c r="EQ101" s="110"/>
      <c r="ER101" s="110"/>
      <c r="ES101" s="110"/>
      <c r="ET101" s="110"/>
      <c r="EU101" s="110"/>
      <c r="EV101" s="110"/>
      <c r="EW101" s="110"/>
      <c r="EX101" s="110"/>
      <c r="EY101" s="110"/>
      <c r="EZ101" s="110"/>
      <c r="FA101" s="110"/>
      <c r="FB101" s="110"/>
      <c r="FC101" s="110"/>
      <c r="FD101" s="110"/>
      <c r="FE101" s="110"/>
      <c r="FF101" s="110"/>
      <c r="FG101" s="110"/>
      <c r="FH101" s="110"/>
      <c r="FI101" s="110"/>
      <c r="FJ101" s="110"/>
      <c r="FK101" s="110"/>
      <c r="FL101" s="110"/>
      <c r="FM101" s="110"/>
      <c r="FN101" s="110"/>
      <c r="FO101" s="110"/>
      <c r="FP101" s="110"/>
      <c r="FQ101" s="110"/>
      <c r="FR101" s="110"/>
      <c r="FS101" s="110"/>
      <c r="FT101" s="110"/>
      <c r="FU101" s="110"/>
      <c r="FV101" s="110"/>
      <c r="FW101" s="110"/>
      <c r="FX101" s="110"/>
      <c r="FY101" s="110"/>
      <c r="FZ101" s="110"/>
      <c r="GA101" s="110"/>
      <c r="GB101" s="110"/>
      <c r="GC101" s="110"/>
      <c r="GD101" s="110"/>
      <c r="GE101" s="110"/>
      <c r="GF101" s="110"/>
      <c r="GG101" s="110"/>
      <c r="GH101" s="110"/>
      <c r="GI101" s="110"/>
      <c r="GJ101" s="110"/>
      <c r="GK101" s="110"/>
      <c r="GL101" s="110"/>
      <c r="GM101" s="110"/>
      <c r="GN101" s="110"/>
      <c r="GO101" s="110"/>
      <c r="GP101" s="110"/>
      <c r="GQ101" s="110"/>
      <c r="GR101" s="110"/>
      <c r="GS101" s="110"/>
      <c r="GT101" s="110"/>
      <c r="GU101" s="110"/>
      <c r="GV101" s="110"/>
      <c r="GW101" s="110"/>
      <c r="GX101" s="110"/>
      <c r="GY101" s="110"/>
      <c r="GZ101" s="110"/>
      <c r="HA101" s="110"/>
      <c r="HB101" s="110"/>
      <c r="HC101" s="110"/>
      <c r="HD101" s="110"/>
      <c r="HE101" s="110"/>
      <c r="HF101" s="110"/>
      <c r="HG101" s="110"/>
      <c r="HH101" s="110"/>
      <c r="HI101" s="110"/>
      <c r="HJ101" s="110"/>
      <c r="HK101" s="110"/>
      <c r="HL101" s="110"/>
      <c r="HM101" s="110"/>
      <c r="HN101" s="110"/>
      <c r="HO101" s="110"/>
      <c r="HP101" s="110"/>
      <c r="HQ101" s="110"/>
      <c r="HR101" s="110"/>
      <c r="HS101" s="110"/>
      <c r="HT101" s="110"/>
      <c r="HU101" s="110"/>
      <c r="HV101" s="110"/>
      <c r="HW101" s="110"/>
      <c r="HX101" s="110"/>
      <c r="HY101" s="110"/>
      <c r="HZ101" s="110"/>
      <c r="IA101" s="110"/>
      <c r="IB101" s="110"/>
      <c r="IC101" s="110"/>
      <c r="ID101" s="110"/>
      <c r="IE101" s="110"/>
      <c r="IF101" s="110"/>
      <c r="IG101" s="110"/>
      <c r="IH101" s="110"/>
      <c r="II101" s="110"/>
      <c r="IJ101" s="110"/>
      <c r="IK101" s="110"/>
      <c r="IL101" s="110"/>
      <c r="IM101" s="110"/>
      <c r="IN101" s="110"/>
      <c r="IO101" s="110"/>
      <c r="IP101" s="110"/>
      <c r="IQ101" s="110"/>
      <c r="IR101" s="110"/>
      <c r="IS101" s="110"/>
      <c r="IT101" s="110"/>
      <c r="IU101" s="110"/>
      <c r="IV101" s="110"/>
      <c r="IW101" s="110"/>
      <c r="IX101" s="110"/>
      <c r="IY101" s="110"/>
      <c r="IZ101" s="110"/>
      <c r="JA101" s="110"/>
      <c r="JB101" s="110"/>
      <c r="JC101" s="110"/>
      <c r="JD101" s="110"/>
      <c r="JE101" s="110"/>
      <c r="JF101" s="110"/>
      <c r="JG101" s="110"/>
      <c r="JH101" s="110"/>
      <c r="JI101" s="110"/>
      <c r="JJ101" s="110"/>
      <c r="JK101" s="110"/>
      <c r="JL101" s="110"/>
      <c r="JM101" s="110"/>
      <c r="JN101" s="110"/>
      <c r="JO101" s="110"/>
      <c r="JP101" s="110"/>
      <c r="JQ101" s="110"/>
      <c r="JR101" s="110"/>
      <c r="JS101" s="110"/>
      <c r="JT101" s="110"/>
      <c r="JU101" s="110"/>
      <c r="JV101" s="110"/>
      <c r="JW101" s="110"/>
      <c r="JX101" s="110"/>
      <c r="JY101" s="110"/>
      <c r="JZ101" s="110"/>
      <c r="KA101" s="110"/>
      <c r="KB101" s="110"/>
      <c r="KC101" s="110"/>
      <c r="KD101" s="110"/>
      <c r="KE101" s="110"/>
      <c r="KF101" s="110"/>
      <c r="KG101" s="110"/>
      <c r="KH101" s="110"/>
      <c r="KI101" s="110"/>
      <c r="KJ101" s="110"/>
      <c r="KK101" s="110"/>
      <c r="KL101" s="110"/>
      <c r="KM101" s="110"/>
      <c r="KN101" s="110"/>
      <c r="KO101" s="110"/>
      <c r="KP101" s="110"/>
      <c r="KQ101" s="110"/>
      <c r="KR101" s="110"/>
      <c r="KS101" s="110"/>
      <c r="KT101" s="110"/>
      <c r="KU101" s="110"/>
      <c r="KV101" s="110"/>
      <c r="KW101" s="110"/>
      <c r="KX101" s="110"/>
      <c r="KY101" s="110"/>
      <c r="KZ101" s="110"/>
      <c r="LA101" s="110"/>
      <c r="LB101" s="110"/>
      <c r="LC101" s="110"/>
      <c r="LD101" s="110"/>
      <c r="LE101" s="110"/>
      <c r="LF101" s="110"/>
      <c r="LG101" s="110"/>
      <c r="LH101" s="110"/>
      <c r="LI101" s="110"/>
      <c r="LJ101" s="110"/>
      <c r="LK101" s="110"/>
      <c r="LL101" s="110"/>
      <c r="LM101" s="110"/>
      <c r="LN101" s="110"/>
      <c r="LO101" s="110"/>
      <c r="LP101" s="110"/>
      <c r="LQ101" s="110"/>
      <c r="LR101" s="110"/>
      <c r="LS101" s="110"/>
      <c r="LT101" s="110"/>
      <c r="LU101" s="110"/>
      <c r="LV101" s="110"/>
      <c r="LW101" s="110"/>
      <c r="LX101" s="110"/>
      <c r="LY101" s="110"/>
      <c r="LZ101" s="110"/>
      <c r="MA101" s="110"/>
      <c r="MB101" s="110"/>
      <c r="MC101" s="110"/>
      <c r="MD101" s="110"/>
      <c r="ME101" s="110"/>
      <c r="MF101" s="110"/>
      <c r="MG101" s="110"/>
      <c r="MH101" s="110"/>
      <c r="MI101" s="110"/>
      <c r="MJ101" s="110"/>
      <c r="MK101" s="110"/>
      <c r="ML101" s="110"/>
      <c r="MM101" s="110"/>
      <c r="MN101" s="110"/>
      <c r="MO101" s="110"/>
      <c r="MP101" s="110"/>
      <c r="MQ101" s="110"/>
      <c r="MR101" s="110"/>
      <c r="MS101" s="110"/>
      <c r="MT101" s="110"/>
      <c r="MU101" s="110"/>
      <c r="MV101" s="110"/>
      <c r="MW101" s="110"/>
      <c r="MX101" s="110"/>
      <c r="MY101" s="110"/>
      <c r="MZ101" s="110"/>
      <c r="NA101" s="110"/>
      <c r="NB101" s="110"/>
      <c r="NC101" s="110"/>
      <c r="ND101" s="110"/>
      <c r="NE101" s="110"/>
      <c r="NF101" s="110"/>
      <c r="NG101" s="110"/>
      <c r="NH101" s="110"/>
      <c r="NI101" s="110"/>
      <c r="NJ101" s="110"/>
      <c r="NK101" s="110"/>
      <c r="NL101" s="110"/>
      <c r="NM101" s="110"/>
      <c r="NN101" s="110"/>
      <c r="NO101" s="110"/>
      <c r="NP101" s="110"/>
      <c r="NQ101" s="110"/>
      <c r="NR101" s="110"/>
      <c r="NS101" s="110"/>
      <c r="NT101" s="110"/>
      <c r="NU101" s="110"/>
      <c r="NV101" s="110"/>
      <c r="NW101" s="110"/>
      <c r="NX101" s="110"/>
      <c r="NY101" s="110"/>
      <c r="NZ101" s="110"/>
      <c r="OA101" s="110"/>
      <c r="OB101" s="110"/>
      <c r="OC101" s="110"/>
      <c r="OD101" s="110"/>
      <c r="OE101" s="110"/>
      <c r="OF101" s="110"/>
      <c r="OG101" s="110"/>
      <c r="OH101" s="110"/>
      <c r="OI101" s="110"/>
      <c r="OJ101" s="110"/>
      <c r="OK101" s="110"/>
      <c r="OL101" s="110"/>
      <c r="OM101" s="110"/>
      <c r="ON101" s="110"/>
      <c r="OO101" s="110"/>
      <c r="OP101" s="110"/>
      <c r="OQ101" s="110"/>
      <c r="OR101" s="110"/>
      <c r="OS101" s="110"/>
      <c r="OT101" s="110"/>
      <c r="OU101" s="110"/>
      <c r="OV101" s="110"/>
      <c r="OW101" s="110"/>
      <c r="OX101" s="110"/>
      <c r="OY101" s="110"/>
      <c r="OZ101" s="110"/>
      <c r="PA101" s="110"/>
      <c r="PB101" s="110"/>
      <c r="PC101" s="110"/>
      <c r="PD101" s="110"/>
      <c r="PE101" s="110"/>
      <c r="PF101" s="110"/>
      <c r="PG101" s="110"/>
      <c r="PH101" s="110"/>
      <c r="PI101" s="110"/>
      <c r="PJ101" s="110"/>
      <c r="PK101" s="110"/>
      <c r="PL101" s="110"/>
      <c r="PM101" s="110"/>
      <c r="PN101" s="110"/>
      <c r="PO101" s="110"/>
      <c r="PP101" s="110"/>
      <c r="PQ101" s="110"/>
      <c r="PR101" s="110"/>
      <c r="PS101" s="110"/>
      <c r="PT101" s="110"/>
      <c r="PU101" s="110"/>
      <c r="PV101" s="110"/>
      <c r="PW101" s="110"/>
      <c r="PX101" s="110"/>
      <c r="PY101" s="110"/>
      <c r="PZ101" s="110"/>
      <c r="QA101" s="110"/>
      <c r="QB101" s="110"/>
      <c r="QC101" s="110"/>
      <c r="QD101" s="110"/>
      <c r="QE101" s="110"/>
      <c r="QF101" s="110"/>
      <c r="QG101" s="110"/>
      <c r="QH101" s="110"/>
      <c r="QI101" s="110"/>
      <c r="QJ101" s="110"/>
      <c r="QK101" s="110"/>
      <c r="QL101" s="110"/>
      <c r="QM101" s="110"/>
      <c r="QN101" s="110"/>
      <c r="QO101" s="110"/>
      <c r="QP101" s="110"/>
      <c r="QQ101" s="110"/>
      <c r="QR101" s="110"/>
      <c r="QS101" s="110"/>
      <c r="QT101" s="110"/>
      <c r="QU101" s="110"/>
      <c r="QV101" s="110"/>
      <c r="QW101" s="110"/>
      <c r="QX101" s="110"/>
      <c r="QY101" s="110"/>
      <c r="QZ101" s="110"/>
      <c r="RA101" s="110"/>
      <c r="RB101" s="110"/>
      <c r="RC101" s="110"/>
      <c r="RD101" s="110"/>
      <c r="RE101" s="110"/>
      <c r="RF101" s="110"/>
      <c r="RG101" s="110"/>
      <c r="RH101" s="110"/>
      <c r="RI101" s="110"/>
      <c r="RJ101" s="110"/>
      <c r="RK101" s="110"/>
      <c r="RL101" s="110"/>
      <c r="RM101" s="110"/>
      <c r="RN101" s="110"/>
      <c r="RO101" s="110"/>
      <c r="RP101" s="110"/>
      <c r="RQ101" s="110"/>
      <c r="RR101" s="110"/>
      <c r="RS101" s="110"/>
      <c r="RT101" s="110"/>
      <c r="RU101" s="110"/>
      <c r="RV101" s="110"/>
      <c r="RW101" s="110"/>
      <c r="RX101" s="110"/>
      <c r="RY101" s="110"/>
      <c r="RZ101" s="110"/>
      <c r="SA101" s="110"/>
      <c r="SB101" s="110"/>
      <c r="SC101" s="110"/>
      <c r="SD101" s="110"/>
      <c r="SE101" s="110"/>
      <c r="SF101" s="110"/>
      <c r="SG101" s="110"/>
      <c r="SH101" s="110"/>
      <c r="SI101" s="110"/>
      <c r="SJ101" s="110"/>
      <c r="SK101" s="110"/>
      <c r="SL101" s="110"/>
      <c r="SM101" s="110"/>
      <c r="SN101" s="110"/>
      <c r="SO101" s="110"/>
      <c r="SP101" s="110"/>
      <c r="SQ101" s="110"/>
      <c r="SR101" s="110"/>
      <c r="SS101" s="110"/>
      <c r="ST101" s="110"/>
      <c r="SU101" s="110"/>
      <c r="SV101" s="110"/>
      <c r="SW101" s="110"/>
      <c r="SX101" s="110"/>
      <c r="SY101" s="110"/>
      <c r="SZ101" s="110"/>
      <c r="TA101" s="110"/>
      <c r="TB101" s="110"/>
      <c r="TC101" s="110"/>
      <c r="TD101" s="110"/>
      <c r="TE101" s="110"/>
      <c r="TF101" s="110"/>
      <c r="TG101" s="110"/>
      <c r="TH101" s="110"/>
      <c r="TI101" s="110"/>
      <c r="TJ101" s="110"/>
      <c r="TK101" s="110"/>
      <c r="TL101" s="110"/>
      <c r="TM101" s="110"/>
      <c r="TN101" s="110"/>
      <c r="TO101" s="110"/>
      <c r="TP101" s="110"/>
      <c r="TQ101" s="110"/>
      <c r="TR101" s="110"/>
      <c r="TS101" s="110"/>
      <c r="TT101" s="110"/>
      <c r="TU101" s="110"/>
      <c r="TV101" s="110"/>
      <c r="TW101" s="110"/>
      <c r="TX101" s="110"/>
      <c r="TY101" s="110"/>
      <c r="TZ101" s="110"/>
      <c r="UA101" s="110"/>
      <c r="UB101" s="110"/>
      <c r="UC101" s="110"/>
      <c r="UD101" s="110"/>
      <c r="UE101" s="110"/>
      <c r="UF101" s="110"/>
      <c r="UG101" s="110"/>
      <c r="UH101" s="110"/>
      <c r="UI101" s="110"/>
      <c r="UJ101" s="110"/>
      <c r="UK101" s="110"/>
      <c r="UL101" s="110"/>
      <c r="UM101" s="110"/>
      <c r="UN101" s="110"/>
      <c r="UO101" s="110"/>
      <c r="UP101" s="110"/>
      <c r="UQ101" s="110"/>
      <c r="UR101" s="110"/>
      <c r="US101" s="110"/>
      <c r="UT101" s="110"/>
      <c r="UU101" s="110"/>
      <c r="UV101" s="110"/>
      <c r="UW101" s="110"/>
      <c r="UX101" s="110"/>
      <c r="UY101" s="110"/>
      <c r="UZ101" s="110"/>
      <c r="VA101" s="110"/>
      <c r="VB101" s="110"/>
      <c r="VC101" s="110"/>
      <c r="VD101" s="110"/>
      <c r="VE101" s="110"/>
      <c r="VF101" s="110"/>
      <c r="VG101" s="110"/>
      <c r="VH101" s="110"/>
      <c r="VI101" s="110"/>
      <c r="VJ101" s="110"/>
      <c r="VK101" s="110"/>
      <c r="VL101" s="110"/>
      <c r="VM101" s="110"/>
      <c r="VN101" s="110"/>
      <c r="VO101" s="110"/>
      <c r="VP101" s="110"/>
      <c r="VQ101" s="110"/>
      <c r="VR101" s="110"/>
      <c r="VS101" s="110"/>
      <c r="VT101" s="110"/>
      <c r="VU101" s="110"/>
      <c r="VV101" s="110"/>
      <c r="VW101" s="110"/>
      <c r="VX101" s="110"/>
      <c r="VY101" s="110"/>
      <c r="VZ101" s="110"/>
      <c r="WA101" s="110"/>
      <c r="WB101" s="110"/>
      <c r="WC101" s="110"/>
      <c r="WD101" s="110"/>
      <c r="WE101" s="110"/>
      <c r="WF101" s="110"/>
      <c r="WG101" s="110"/>
      <c r="WH101" s="110"/>
      <c r="WI101" s="110"/>
      <c r="WJ101" s="110"/>
      <c r="WK101" s="110"/>
      <c r="WL101" s="110"/>
      <c r="WM101" s="110"/>
      <c r="WN101" s="110"/>
      <c r="WO101" s="110"/>
      <c r="WP101" s="110"/>
      <c r="WQ101" s="110"/>
      <c r="WR101" s="110"/>
      <c r="WS101" s="110"/>
      <c r="WT101" s="110"/>
      <c r="WU101" s="110"/>
      <c r="WV101" s="110"/>
      <c r="WW101" s="110"/>
      <c r="WX101" s="110"/>
      <c r="WY101" s="110"/>
      <c r="WZ101" s="110"/>
      <c r="XA101" s="110"/>
      <c r="XB101" s="110"/>
      <c r="XC101" s="110"/>
      <c r="XD101" s="110"/>
      <c r="XE101" s="110"/>
      <c r="XF101" s="110"/>
      <c r="XG101" s="110"/>
      <c r="XH101" s="110"/>
      <c r="XI101" s="110"/>
      <c r="XJ101" s="110"/>
      <c r="XK101" s="110"/>
      <c r="XL101" s="110"/>
      <c r="XM101" s="110"/>
      <c r="XN101" s="110"/>
      <c r="XO101" s="110"/>
      <c r="XP101" s="110"/>
      <c r="XQ101" s="110"/>
      <c r="XR101" s="110"/>
      <c r="XS101" s="110"/>
      <c r="XT101" s="110"/>
      <c r="XU101" s="110"/>
      <c r="XV101" s="110"/>
      <c r="XW101" s="110"/>
      <c r="XX101" s="110"/>
      <c r="XY101" s="110"/>
      <c r="XZ101" s="110"/>
      <c r="YA101" s="110"/>
      <c r="YB101" s="110"/>
      <c r="YC101" s="110"/>
      <c r="YD101" s="110"/>
      <c r="YE101" s="110"/>
      <c r="YF101" s="110"/>
      <c r="YG101" s="110"/>
      <c r="YH101" s="110"/>
      <c r="YI101" s="110"/>
      <c r="YJ101" s="110"/>
      <c r="YK101" s="110"/>
      <c r="YL101" s="110"/>
      <c r="YM101" s="110"/>
      <c r="YN101" s="110"/>
      <c r="YO101" s="110"/>
      <c r="YP101" s="110"/>
      <c r="YQ101" s="110"/>
      <c r="YR101" s="110"/>
      <c r="YS101" s="110"/>
      <c r="YT101" s="110"/>
      <c r="YU101" s="110"/>
      <c r="YV101" s="110"/>
      <c r="YW101" s="110"/>
      <c r="YX101" s="110"/>
      <c r="YY101" s="110"/>
      <c r="YZ101" s="110"/>
      <c r="ZA101" s="110"/>
      <c r="ZB101" s="110"/>
      <c r="ZC101" s="110"/>
      <c r="ZD101" s="110"/>
      <c r="ZE101" s="110"/>
      <c r="ZF101" s="110"/>
      <c r="ZG101" s="110"/>
      <c r="ZH101" s="110"/>
      <c r="ZI101" s="110"/>
      <c r="ZJ101" s="110"/>
      <c r="ZK101" s="110"/>
      <c r="ZL101" s="110"/>
      <c r="ZM101" s="110"/>
      <c r="ZN101" s="110"/>
      <c r="ZO101" s="110"/>
      <c r="ZP101" s="110"/>
      <c r="ZQ101" s="110"/>
      <c r="ZR101" s="110"/>
      <c r="ZS101" s="110"/>
      <c r="ZT101" s="110"/>
      <c r="ZU101" s="110"/>
      <c r="ZV101" s="110"/>
      <c r="ZW101" s="110"/>
      <c r="ZX101" s="110"/>
      <c r="ZY101" s="110"/>
      <c r="ZZ101" s="110"/>
      <c r="AAA101" s="110"/>
      <c r="AAB101" s="110"/>
      <c r="AAC101" s="110"/>
      <c r="AAD101" s="110"/>
      <c r="AAE101" s="110"/>
      <c r="AAF101" s="110"/>
      <c r="AAG101" s="110"/>
      <c r="AAH101" s="110"/>
      <c r="AAI101" s="110"/>
      <c r="AAJ101" s="110"/>
      <c r="AAK101" s="110"/>
      <c r="AAL101" s="110"/>
      <c r="AAM101" s="110"/>
      <c r="AAN101" s="110"/>
      <c r="AAO101" s="110"/>
      <c r="AAP101" s="110"/>
      <c r="AAQ101" s="110"/>
      <c r="AAR101" s="110"/>
      <c r="AAS101" s="110"/>
      <c r="AAT101" s="110"/>
      <c r="AAU101" s="110"/>
      <c r="AAV101" s="110"/>
      <c r="AAW101" s="110"/>
      <c r="AAX101" s="110"/>
      <c r="AAY101" s="110"/>
      <c r="AAZ101" s="110"/>
      <c r="ABA101" s="110"/>
      <c r="ABB101" s="110"/>
      <c r="ABC101" s="110"/>
      <c r="ABD101" s="110"/>
      <c r="ABE101" s="110"/>
      <c r="ABF101" s="110"/>
      <c r="ABG101" s="110"/>
      <c r="ABH101" s="110"/>
      <c r="ABI101" s="110"/>
      <c r="ABJ101" s="110"/>
      <c r="ABK101" s="110"/>
      <c r="ABL101" s="110"/>
      <c r="ABM101" s="110"/>
      <c r="ABN101" s="110"/>
      <c r="ABO101" s="110"/>
      <c r="ABP101" s="110"/>
      <c r="ABQ101" s="110"/>
      <c r="ABR101" s="110"/>
      <c r="ABS101" s="110"/>
      <c r="ABT101" s="110"/>
      <c r="ABU101" s="110"/>
      <c r="ABV101" s="110"/>
      <c r="ABW101" s="110"/>
      <c r="ABX101" s="110"/>
      <c r="ABY101" s="110"/>
      <c r="ABZ101" s="110"/>
      <c r="ACA101" s="110"/>
      <c r="ACB101" s="110"/>
      <c r="ACC101" s="110"/>
      <c r="ACD101" s="110"/>
      <c r="ACE101" s="110"/>
      <c r="ACF101" s="110"/>
      <c r="ACG101" s="110"/>
      <c r="ACH101" s="110"/>
      <c r="ACI101" s="110"/>
      <c r="ACJ101" s="110"/>
      <c r="ACK101" s="110"/>
      <c r="ACL101" s="110"/>
      <c r="ACM101" s="110"/>
      <c r="ACN101" s="110"/>
      <c r="ACO101" s="110"/>
      <c r="ACP101" s="110"/>
      <c r="ACQ101" s="110"/>
      <c r="ACR101" s="110"/>
      <c r="ACS101" s="110"/>
      <c r="ACT101" s="110"/>
      <c r="ACU101" s="110"/>
      <c r="ACV101" s="110"/>
      <c r="ACW101" s="110"/>
      <c r="ACX101" s="110"/>
      <c r="ACY101" s="110"/>
      <c r="ACZ101" s="110"/>
      <c r="ADA101" s="110"/>
      <c r="ADB101" s="110"/>
      <c r="ADC101" s="110"/>
      <c r="ADD101" s="110"/>
      <c r="ADE101" s="110"/>
      <c r="ADF101" s="110"/>
      <c r="ADG101" s="110"/>
      <c r="ADH101" s="110"/>
      <c r="ADI101" s="110"/>
      <c r="ADJ101" s="110"/>
      <c r="ADK101" s="110"/>
      <c r="ADL101" s="110"/>
      <c r="ADM101" s="110"/>
      <c r="ADN101" s="110"/>
      <c r="ADO101" s="110"/>
      <c r="ADP101" s="110"/>
      <c r="ADQ101" s="110"/>
      <c r="ADR101" s="110"/>
      <c r="ADS101" s="110"/>
      <c r="ADT101" s="110"/>
      <c r="ADU101" s="110"/>
      <c r="ADV101" s="110"/>
      <c r="ADW101" s="110"/>
      <c r="ADX101" s="110"/>
      <c r="ADY101" s="110"/>
      <c r="ADZ101" s="110"/>
      <c r="AEA101" s="110"/>
      <c r="AEB101" s="110"/>
      <c r="AEC101" s="110"/>
      <c r="AED101" s="110"/>
      <c r="AEE101" s="110"/>
      <c r="AEF101" s="110"/>
      <c r="AEG101" s="110"/>
      <c r="AEH101" s="110"/>
      <c r="AEI101" s="110"/>
      <c r="AEJ101" s="110"/>
      <c r="AEK101" s="110"/>
      <c r="AEL101" s="110"/>
      <c r="AEM101" s="110"/>
      <c r="AEN101" s="110"/>
      <c r="AEO101" s="110"/>
      <c r="AEP101" s="110"/>
      <c r="AEQ101" s="110"/>
      <c r="AER101" s="110"/>
      <c r="AES101" s="110"/>
      <c r="AET101" s="110"/>
      <c r="AEU101" s="110"/>
      <c r="AEV101" s="110"/>
      <c r="AEW101" s="110"/>
      <c r="AEX101" s="110"/>
      <c r="AEY101" s="110"/>
      <c r="AEZ101" s="110"/>
      <c r="AFA101" s="110"/>
      <c r="AFB101" s="110"/>
      <c r="AFC101" s="110"/>
      <c r="AFD101" s="110"/>
      <c r="AFE101" s="110"/>
      <c r="AFF101" s="110"/>
      <c r="AFG101" s="110"/>
      <c r="AFH101" s="110"/>
      <c r="AFI101" s="110"/>
      <c r="AFJ101" s="110"/>
      <c r="AFK101" s="110"/>
      <c r="AFL101" s="110"/>
      <c r="AFM101" s="110"/>
      <c r="AFN101" s="110"/>
      <c r="AFO101" s="110"/>
      <c r="AFP101" s="110"/>
      <c r="AFQ101" s="110"/>
      <c r="AFR101" s="110"/>
      <c r="AFS101" s="110"/>
      <c r="AFT101" s="110"/>
      <c r="AFU101" s="110"/>
      <c r="AFV101" s="110"/>
      <c r="AFW101" s="110"/>
      <c r="AFX101" s="110"/>
      <c r="AFY101" s="110"/>
      <c r="AFZ101" s="110"/>
      <c r="AGA101" s="110"/>
      <c r="AGB101" s="110"/>
      <c r="AGC101" s="110"/>
      <c r="AGD101" s="110"/>
      <c r="AGE101" s="110"/>
      <c r="AGF101" s="110"/>
      <c r="AGG101" s="110"/>
      <c r="AGH101" s="110"/>
      <c r="AGI101" s="110"/>
      <c r="AGJ101" s="110"/>
      <c r="AGK101" s="110"/>
      <c r="AGL101" s="110"/>
      <c r="AGM101" s="110"/>
      <c r="AGN101" s="110"/>
      <c r="AGO101" s="110"/>
      <c r="AGP101" s="110"/>
      <c r="AGQ101" s="110"/>
      <c r="AGR101" s="110"/>
      <c r="AGS101" s="110"/>
      <c r="AGT101" s="110"/>
      <c r="AGU101" s="110"/>
      <c r="AGV101" s="110"/>
      <c r="AGW101" s="110"/>
      <c r="AGX101" s="110"/>
      <c r="AGY101" s="110"/>
      <c r="AGZ101" s="110"/>
      <c r="AHA101" s="110"/>
      <c r="AHB101" s="110"/>
      <c r="AHC101" s="110"/>
      <c r="AHD101" s="110"/>
      <c r="AHE101" s="110"/>
      <c r="AHF101" s="110"/>
      <c r="AHG101" s="110"/>
      <c r="AHH101" s="110"/>
      <c r="AHI101" s="110"/>
      <c r="AHJ101" s="110"/>
      <c r="AHK101" s="110"/>
      <c r="AHL101" s="110"/>
      <c r="AHM101" s="110"/>
      <c r="AHN101" s="110"/>
      <c r="AHO101" s="110"/>
      <c r="AHP101" s="110"/>
      <c r="AHQ101" s="110"/>
      <c r="AHR101" s="110"/>
      <c r="AHS101" s="110"/>
      <c r="AHT101" s="110"/>
      <c r="AHU101" s="110"/>
      <c r="AHV101" s="110"/>
      <c r="AHW101" s="110"/>
      <c r="AHX101" s="110"/>
      <c r="AHY101" s="110"/>
      <c r="AHZ101" s="110"/>
      <c r="AIA101" s="110"/>
      <c r="AIB101" s="110"/>
      <c r="AIC101" s="110"/>
      <c r="AID101" s="110"/>
      <c r="AIE101" s="110"/>
      <c r="AIF101" s="110"/>
      <c r="AIG101" s="110"/>
      <c r="AIH101" s="110"/>
      <c r="AII101" s="110"/>
      <c r="AIJ101" s="110"/>
      <c r="AIK101" s="110"/>
      <c r="AIL101" s="110"/>
      <c r="AIM101" s="110"/>
      <c r="AIN101" s="110"/>
      <c r="AIO101" s="110"/>
      <c r="AIP101" s="110"/>
      <c r="AIQ101" s="110"/>
      <c r="AIR101" s="110"/>
      <c r="AIS101" s="110"/>
      <c r="AIT101" s="110"/>
      <c r="AIU101" s="110"/>
      <c r="AIV101" s="110"/>
      <c r="AIW101" s="110"/>
      <c r="AIX101" s="110"/>
      <c r="AIY101" s="110"/>
      <c r="AIZ101" s="110"/>
      <c r="AJA101" s="110"/>
      <c r="AJB101" s="110"/>
      <c r="AJC101" s="110"/>
      <c r="AJD101" s="110"/>
      <c r="AJE101" s="110"/>
      <c r="AJF101" s="110"/>
      <c r="AJG101" s="110"/>
      <c r="AJH101" s="110"/>
      <c r="AJI101" s="110"/>
      <c r="AJJ101" s="110"/>
      <c r="AJK101" s="110"/>
      <c r="AJL101" s="110"/>
      <c r="AJM101" s="110"/>
      <c r="AJN101" s="110"/>
      <c r="AJO101" s="110"/>
      <c r="AJP101" s="110"/>
      <c r="AJQ101" s="110"/>
      <c r="AJR101" s="110"/>
      <c r="AJS101" s="110"/>
      <c r="AJT101" s="110"/>
      <c r="AJU101" s="110"/>
      <c r="AJV101" s="110"/>
      <c r="AJW101" s="110"/>
      <c r="AJX101" s="110"/>
      <c r="AJY101" s="110"/>
      <c r="AJZ101" s="110"/>
      <c r="AKA101" s="110"/>
      <c r="AKB101" s="110"/>
      <c r="AKC101" s="110"/>
      <c r="AKD101" s="110"/>
      <c r="AKE101" s="110"/>
      <c r="AKF101" s="110"/>
      <c r="AKG101" s="110"/>
      <c r="AKH101" s="110"/>
      <c r="AKI101" s="110"/>
      <c r="AKJ101" s="110"/>
      <c r="AKK101" s="110"/>
      <c r="AKL101" s="110"/>
      <c r="AKM101" s="110"/>
      <c r="AKN101" s="110"/>
      <c r="AKO101" s="110"/>
      <c r="AKP101" s="110"/>
      <c r="AKQ101" s="110"/>
      <c r="AKR101" s="110"/>
      <c r="AKS101" s="110"/>
      <c r="AKT101" s="110"/>
      <c r="AKU101" s="110"/>
      <c r="AKV101" s="110"/>
      <c r="AKW101" s="110"/>
      <c r="AKX101" s="110"/>
      <c r="AKY101" s="110"/>
      <c r="AKZ101" s="110"/>
      <c r="ALA101" s="110"/>
      <c r="ALB101" s="110"/>
      <c r="ALC101" s="110"/>
      <c r="ALD101" s="110"/>
      <c r="ALE101" s="110"/>
      <c r="ALF101" s="110"/>
      <c r="ALG101" s="110"/>
      <c r="ALH101" s="110"/>
      <c r="ALI101" s="110"/>
      <c r="ALJ101" s="110"/>
      <c r="ALK101" s="110"/>
      <c r="ALL101" s="110"/>
      <c r="ALM101" s="110"/>
      <c r="ALN101" s="110"/>
      <c r="ALO101" s="110"/>
      <c r="ALP101" s="110"/>
      <c r="ALQ101" s="110"/>
      <c r="ALR101" s="110"/>
      <c r="ALS101" s="110"/>
      <c r="ALT101" s="110"/>
      <c r="ALU101" s="110"/>
      <c r="ALV101" s="110"/>
      <c r="ALW101" s="110"/>
      <c r="ALX101" s="110"/>
      <c r="ALY101" s="110"/>
      <c r="ALZ101" s="110"/>
      <c r="AMA101" s="110"/>
      <c r="AMB101" s="110"/>
      <c r="AMC101" s="110"/>
      <c r="AMD101" s="110"/>
      <c r="AME101" s="110"/>
      <c r="AMF101" s="110"/>
      <c r="AMG101" s="110"/>
      <c r="AMH101" s="110"/>
      <c r="AMI101" s="110"/>
      <c r="AMJ101" s="110"/>
      <c r="AMK101" s="110"/>
      <c r="AML101" s="110"/>
      <c r="AMM101" s="110"/>
      <c r="AMN101" s="110"/>
      <c r="AMO101" s="110"/>
      <c r="AMP101" s="110"/>
      <c r="AMQ101" s="110"/>
      <c r="AMR101" s="110"/>
      <c r="AMS101" s="110"/>
      <c r="AMT101" s="110"/>
      <c r="AMU101" s="110"/>
      <c r="AMV101" s="110"/>
      <c r="AMW101" s="110"/>
      <c r="AMX101" s="110"/>
      <c r="AMY101" s="110"/>
      <c r="AMZ101" s="110"/>
      <c r="ANA101" s="110"/>
      <c r="ANB101" s="110"/>
      <c r="ANC101" s="110"/>
      <c r="AND101" s="110"/>
      <c r="ANE101" s="110"/>
      <c r="ANF101" s="110"/>
      <c r="ANG101" s="110"/>
      <c r="ANH101" s="110"/>
      <c r="ANI101" s="110"/>
      <c r="ANJ101" s="110"/>
      <c r="ANK101" s="110"/>
      <c r="ANL101" s="110"/>
      <c r="ANM101" s="110"/>
      <c r="ANN101" s="110"/>
      <c r="ANO101" s="110"/>
      <c r="ANP101" s="110"/>
      <c r="ANQ101" s="110"/>
      <c r="ANR101" s="110"/>
      <c r="ANS101" s="110"/>
      <c r="ANT101" s="110"/>
      <c r="ANU101" s="110"/>
      <c r="ANV101" s="110"/>
      <c r="ANW101" s="110"/>
      <c r="ANX101" s="110"/>
      <c r="ANY101" s="110"/>
      <c r="ANZ101" s="110"/>
      <c r="AOA101" s="110"/>
      <c r="AOB101" s="110"/>
      <c r="AOC101" s="110"/>
      <c r="AOD101" s="110"/>
      <c r="AOE101" s="110"/>
      <c r="AOF101" s="110"/>
      <c r="AOG101" s="110"/>
      <c r="AOH101" s="110"/>
      <c r="AOI101" s="110"/>
      <c r="AOJ101" s="110"/>
      <c r="AOK101" s="110"/>
      <c r="AOL101" s="110"/>
      <c r="AOM101" s="110"/>
      <c r="AON101" s="110"/>
      <c r="AOO101" s="110"/>
      <c r="AOP101" s="110"/>
      <c r="AOQ101" s="110"/>
      <c r="AOR101" s="110"/>
      <c r="AOS101" s="110"/>
      <c r="AOT101" s="110"/>
      <c r="AOU101" s="110"/>
      <c r="AOV101" s="110"/>
      <c r="AOW101" s="110"/>
      <c r="AOX101" s="110"/>
      <c r="AOY101" s="110"/>
      <c r="AOZ101" s="110"/>
      <c r="APA101" s="110"/>
      <c r="APB101" s="110"/>
      <c r="APC101" s="110"/>
      <c r="APD101" s="110"/>
      <c r="APE101" s="110"/>
      <c r="APF101" s="110"/>
      <c r="APG101" s="110"/>
      <c r="APH101" s="110"/>
      <c r="API101" s="110"/>
      <c r="APJ101" s="110"/>
      <c r="APK101" s="110"/>
      <c r="APL101" s="110"/>
      <c r="APM101" s="110"/>
      <c r="APN101" s="110"/>
      <c r="APO101" s="110"/>
      <c r="APP101" s="110"/>
      <c r="APQ101" s="110"/>
      <c r="APR101" s="110"/>
      <c r="APS101" s="110"/>
      <c r="APT101" s="110"/>
      <c r="APU101" s="110"/>
      <c r="APV101" s="110"/>
      <c r="APW101" s="110"/>
      <c r="APX101" s="110"/>
      <c r="APY101" s="110"/>
      <c r="APZ101" s="110"/>
      <c r="AQA101" s="110"/>
      <c r="AQB101" s="110"/>
      <c r="AQC101" s="110"/>
      <c r="AQD101" s="110"/>
      <c r="AQE101" s="110"/>
      <c r="AQF101" s="110"/>
      <c r="AQG101" s="110"/>
      <c r="AQH101" s="110"/>
      <c r="AQI101" s="110"/>
      <c r="AQJ101" s="110"/>
      <c r="AQK101" s="110"/>
      <c r="AQL101" s="110"/>
      <c r="AQM101" s="110"/>
      <c r="AQN101" s="110"/>
      <c r="AQO101" s="110"/>
      <c r="AQP101" s="110"/>
      <c r="AQQ101" s="110"/>
      <c r="AQR101" s="110"/>
      <c r="AQS101" s="110"/>
      <c r="AQT101" s="110"/>
      <c r="AQU101" s="110"/>
      <c r="AQV101" s="110"/>
      <c r="AQW101" s="110"/>
      <c r="AQX101" s="110"/>
      <c r="AQY101" s="110"/>
      <c r="AQZ101" s="110"/>
      <c r="ARA101" s="110"/>
      <c r="ARB101" s="110"/>
      <c r="ARC101" s="110"/>
      <c r="ARD101" s="110"/>
      <c r="ARE101" s="110"/>
    </row>
    <row r="102" spans="1:1149" s="26" customFormat="1" ht="51">
      <c r="A102" s="711" t="s">
        <v>650</v>
      </c>
      <c r="B102" s="354" t="s">
        <v>461</v>
      </c>
      <c r="C102" s="354" t="s">
        <v>461</v>
      </c>
      <c r="D102" s="354" t="s">
        <v>461</v>
      </c>
      <c r="E102" s="354" t="s">
        <v>461</v>
      </c>
      <c r="F102" s="354" t="s">
        <v>461</v>
      </c>
      <c r="G102" s="354" t="s">
        <v>461</v>
      </c>
      <c r="H102" s="360" t="s">
        <v>91</v>
      </c>
      <c r="I102" s="411" t="s">
        <v>471</v>
      </c>
      <c r="J102" s="360" t="s">
        <v>91</v>
      </c>
      <c r="K102" s="411" t="s">
        <v>471</v>
      </c>
      <c r="L102" s="360" t="s">
        <v>91</v>
      </c>
      <c r="M102" s="411" t="s">
        <v>471</v>
      </c>
      <c r="N102" s="360" t="s">
        <v>91</v>
      </c>
      <c r="P102" s="354" t="s">
        <v>461</v>
      </c>
      <c r="Q102" s="354" t="s">
        <v>461</v>
      </c>
      <c r="R102" s="354" t="s">
        <v>461</v>
      </c>
      <c r="S102" s="354" t="s">
        <v>461</v>
      </c>
      <c r="T102" s="354" t="s">
        <v>461</v>
      </c>
      <c r="U102" s="354" t="s">
        <v>461</v>
      </c>
      <c r="V102" s="360" t="s">
        <v>91</v>
      </c>
      <c r="W102" s="411" t="s">
        <v>471</v>
      </c>
      <c r="X102" s="360" t="s">
        <v>91</v>
      </c>
      <c r="Y102" s="411" t="s">
        <v>471</v>
      </c>
      <c r="Z102" s="360" t="s">
        <v>91</v>
      </c>
      <c r="AA102" s="411" t="s">
        <v>471</v>
      </c>
      <c r="AB102" s="360" t="s">
        <v>91</v>
      </c>
      <c r="AD102" s="354" t="s">
        <v>461</v>
      </c>
      <c r="AE102" s="354" t="s">
        <v>461</v>
      </c>
      <c r="AF102" s="354" t="s">
        <v>461</v>
      </c>
      <c r="AG102" s="354" t="s">
        <v>461</v>
      </c>
      <c r="AH102" s="354" t="s">
        <v>461</v>
      </c>
      <c r="AI102" s="354" t="s">
        <v>461</v>
      </c>
      <c r="AJ102" s="360" t="s">
        <v>91</v>
      </c>
      <c r="AK102" s="411" t="s">
        <v>471</v>
      </c>
      <c r="AL102" s="360" t="s">
        <v>91</v>
      </c>
      <c r="AM102" s="411" t="s">
        <v>471</v>
      </c>
      <c r="AN102" s="360" t="s">
        <v>91</v>
      </c>
      <c r="AO102" s="411" t="s">
        <v>471</v>
      </c>
      <c r="AP102" s="360" t="s">
        <v>91</v>
      </c>
      <c r="AR102" s="354" t="s">
        <v>461</v>
      </c>
      <c r="AS102" s="354" t="s">
        <v>461</v>
      </c>
      <c r="AT102" s="354" t="s">
        <v>461</v>
      </c>
      <c r="AU102" s="354" t="s">
        <v>461</v>
      </c>
      <c r="AV102" s="354" t="s">
        <v>461</v>
      </c>
      <c r="AW102" s="354" t="s">
        <v>461</v>
      </c>
      <c r="AX102" s="360" t="s">
        <v>91</v>
      </c>
      <c r="AY102" s="411" t="s">
        <v>471</v>
      </c>
      <c r="AZ102" s="360" t="s">
        <v>91</v>
      </c>
      <c r="BA102" s="411" t="s">
        <v>471</v>
      </c>
      <c r="BB102" s="360" t="s">
        <v>91</v>
      </c>
      <c r="BC102" s="411" t="s">
        <v>471</v>
      </c>
      <c r="BD102" s="360" t="s">
        <v>91</v>
      </c>
      <c r="BF102" s="354" t="s">
        <v>461</v>
      </c>
      <c r="BG102" s="354" t="s">
        <v>461</v>
      </c>
      <c r="BH102" s="354" t="s">
        <v>461</v>
      </c>
      <c r="BI102" s="354" t="s">
        <v>461</v>
      </c>
      <c r="BJ102" s="354" t="s">
        <v>461</v>
      </c>
      <c r="BK102" s="354" t="s">
        <v>461</v>
      </c>
      <c r="BL102" s="360" t="s">
        <v>91</v>
      </c>
      <c r="BM102" s="411" t="s">
        <v>471</v>
      </c>
      <c r="BN102" s="360" t="s">
        <v>91</v>
      </c>
      <c r="BO102" s="411" t="s">
        <v>471</v>
      </c>
      <c r="BP102" s="360" t="s">
        <v>91</v>
      </c>
      <c r="BQ102" s="411" t="s">
        <v>471</v>
      </c>
      <c r="BR102" s="360" t="s">
        <v>91</v>
      </c>
      <c r="BT102" s="354" t="s">
        <v>461</v>
      </c>
      <c r="BU102" s="354" t="s">
        <v>461</v>
      </c>
      <c r="BV102" s="354" t="s">
        <v>461</v>
      </c>
      <c r="BW102" s="354" t="s">
        <v>461</v>
      </c>
      <c r="BX102" s="354" t="s">
        <v>461</v>
      </c>
      <c r="BY102" s="354" t="s">
        <v>461</v>
      </c>
      <c r="BZ102" s="360" t="s">
        <v>91</v>
      </c>
      <c r="CA102" s="411" t="s">
        <v>471</v>
      </c>
      <c r="CB102" s="360" t="s">
        <v>91</v>
      </c>
      <c r="CC102" s="411" t="s">
        <v>471</v>
      </c>
      <c r="CD102" s="360" t="s">
        <v>91</v>
      </c>
      <c r="CE102" s="411" t="s">
        <v>471</v>
      </c>
      <c r="CF102" s="360" t="s">
        <v>91</v>
      </c>
      <c r="CH102" s="354" t="s">
        <v>461</v>
      </c>
      <c r="CI102" s="354" t="s">
        <v>461</v>
      </c>
      <c r="CJ102" s="354" t="s">
        <v>461</v>
      </c>
      <c r="CK102" s="354" t="s">
        <v>461</v>
      </c>
      <c r="CL102" s="354" t="s">
        <v>461</v>
      </c>
      <c r="CM102" s="354" t="s">
        <v>461</v>
      </c>
      <c r="CN102" s="360" t="s">
        <v>91</v>
      </c>
      <c r="CO102" s="411" t="s">
        <v>471</v>
      </c>
      <c r="CP102" s="360" t="s">
        <v>91</v>
      </c>
      <c r="CQ102" s="411" t="s">
        <v>471</v>
      </c>
      <c r="CR102" s="360" t="s">
        <v>91</v>
      </c>
      <c r="CS102" s="411" t="s">
        <v>471</v>
      </c>
      <c r="CT102" s="360" t="s">
        <v>91</v>
      </c>
      <c r="CV102" s="354" t="s">
        <v>461</v>
      </c>
      <c r="CW102" s="354" t="s">
        <v>461</v>
      </c>
      <c r="CX102" s="354" t="s">
        <v>461</v>
      </c>
      <c r="CY102" s="354" t="s">
        <v>461</v>
      </c>
      <c r="CZ102" s="354" t="s">
        <v>461</v>
      </c>
      <c r="DA102" s="354" t="s">
        <v>461</v>
      </c>
      <c r="DB102" s="360" t="s">
        <v>91</v>
      </c>
      <c r="DC102" s="411" t="s">
        <v>471</v>
      </c>
      <c r="DD102" s="360" t="s">
        <v>91</v>
      </c>
      <c r="DE102" s="411" t="s">
        <v>471</v>
      </c>
      <c r="DF102" s="360" t="s">
        <v>91</v>
      </c>
      <c r="DG102" s="411" t="s">
        <v>471</v>
      </c>
      <c r="DH102" s="360" t="s">
        <v>91</v>
      </c>
      <c r="DI102" s="110"/>
      <c r="DJ102" s="110"/>
      <c r="DK102" s="110"/>
      <c r="DL102" s="110"/>
      <c r="DM102" s="110"/>
      <c r="DN102" s="110"/>
      <c r="DO102" s="110"/>
      <c r="DP102" s="110"/>
      <c r="DQ102" s="110"/>
      <c r="DR102" s="110"/>
      <c r="DS102" s="110"/>
      <c r="DT102" s="110"/>
      <c r="DU102" s="110"/>
      <c r="DV102" s="110"/>
      <c r="DW102" s="110"/>
      <c r="DX102" s="110"/>
      <c r="DY102" s="110"/>
      <c r="DZ102" s="110"/>
      <c r="EA102" s="110"/>
      <c r="EB102" s="110"/>
      <c r="EC102" s="110"/>
      <c r="ED102" s="110"/>
      <c r="EE102" s="110"/>
      <c r="EF102" s="110"/>
      <c r="EG102" s="110"/>
      <c r="EH102" s="110"/>
      <c r="EI102" s="110"/>
      <c r="EJ102" s="110"/>
      <c r="EK102" s="110"/>
      <c r="EL102" s="110"/>
      <c r="EM102" s="110"/>
      <c r="EN102" s="110"/>
      <c r="EO102" s="110"/>
      <c r="EP102" s="110"/>
      <c r="EQ102" s="110"/>
      <c r="ER102" s="110"/>
      <c r="ES102" s="110"/>
      <c r="ET102" s="110"/>
      <c r="EU102" s="110"/>
      <c r="EV102" s="110"/>
      <c r="EW102" s="110"/>
      <c r="EX102" s="110"/>
      <c r="EY102" s="110"/>
      <c r="EZ102" s="110"/>
      <c r="FA102" s="110"/>
      <c r="FB102" s="110"/>
      <c r="FC102" s="110"/>
      <c r="FD102" s="110"/>
      <c r="FE102" s="110"/>
      <c r="FF102" s="110"/>
      <c r="FG102" s="110"/>
      <c r="FH102" s="110"/>
      <c r="FI102" s="110"/>
      <c r="FJ102" s="110"/>
      <c r="FK102" s="110"/>
      <c r="FL102" s="110"/>
      <c r="FM102" s="110"/>
      <c r="FN102" s="110"/>
      <c r="FO102" s="110"/>
      <c r="FP102" s="110"/>
      <c r="FQ102" s="110"/>
      <c r="FR102" s="110"/>
      <c r="FS102" s="110"/>
      <c r="FT102" s="110"/>
      <c r="FU102" s="110"/>
      <c r="FV102" s="110"/>
      <c r="FW102" s="110"/>
      <c r="FX102" s="110"/>
      <c r="FY102" s="110"/>
      <c r="FZ102" s="110"/>
      <c r="GA102" s="110"/>
      <c r="GB102" s="110"/>
      <c r="GC102" s="110"/>
      <c r="GD102" s="110"/>
      <c r="GE102" s="110"/>
      <c r="GF102" s="110"/>
      <c r="GG102" s="110"/>
      <c r="GH102" s="110"/>
      <c r="GI102" s="110"/>
      <c r="GJ102" s="110"/>
      <c r="GK102" s="110"/>
      <c r="GL102" s="110"/>
      <c r="GM102" s="110"/>
      <c r="GN102" s="110"/>
      <c r="GO102" s="110"/>
      <c r="GP102" s="110"/>
      <c r="GQ102" s="110"/>
      <c r="GR102" s="110"/>
      <c r="GS102" s="110"/>
      <c r="GT102" s="110"/>
      <c r="GU102" s="110"/>
      <c r="GV102" s="110"/>
      <c r="GW102" s="110"/>
      <c r="GX102" s="110"/>
      <c r="GY102" s="110"/>
      <c r="GZ102" s="110"/>
      <c r="HA102" s="110"/>
      <c r="HB102" s="110"/>
      <c r="HC102" s="110"/>
      <c r="HD102" s="110"/>
      <c r="HE102" s="110"/>
      <c r="HF102" s="110"/>
      <c r="HG102" s="110"/>
      <c r="HH102" s="110"/>
      <c r="HI102" s="110"/>
      <c r="HJ102" s="110"/>
      <c r="HK102" s="110"/>
      <c r="HL102" s="110"/>
      <c r="HM102" s="110"/>
      <c r="HN102" s="110"/>
      <c r="HO102" s="110"/>
      <c r="HP102" s="110"/>
      <c r="HQ102" s="110"/>
      <c r="HR102" s="110"/>
      <c r="HS102" s="110"/>
      <c r="HT102" s="110"/>
      <c r="HU102" s="110"/>
      <c r="HV102" s="110"/>
      <c r="HW102" s="110"/>
      <c r="HX102" s="110"/>
      <c r="HY102" s="110"/>
      <c r="HZ102" s="110"/>
      <c r="IA102" s="110"/>
      <c r="IB102" s="110"/>
      <c r="IC102" s="110"/>
      <c r="ID102" s="110"/>
      <c r="IE102" s="110"/>
      <c r="IF102" s="110"/>
      <c r="IG102" s="110"/>
      <c r="IH102" s="110"/>
      <c r="II102" s="110"/>
      <c r="IJ102" s="110"/>
      <c r="IK102" s="110"/>
      <c r="IL102" s="110"/>
      <c r="IM102" s="110"/>
      <c r="IN102" s="110"/>
      <c r="IO102" s="110"/>
      <c r="IP102" s="110"/>
      <c r="IQ102" s="110"/>
      <c r="IR102" s="110"/>
      <c r="IS102" s="110"/>
      <c r="IT102" s="110"/>
      <c r="IU102" s="110"/>
      <c r="IV102" s="110"/>
      <c r="IW102" s="110"/>
      <c r="IX102" s="110"/>
      <c r="IY102" s="110"/>
      <c r="IZ102" s="110"/>
      <c r="JA102" s="110"/>
      <c r="JB102" s="110"/>
      <c r="JC102" s="110"/>
      <c r="JD102" s="110"/>
      <c r="JE102" s="110"/>
      <c r="JF102" s="110"/>
      <c r="JG102" s="110"/>
      <c r="JH102" s="110"/>
      <c r="JI102" s="110"/>
      <c r="JJ102" s="110"/>
      <c r="JK102" s="110"/>
      <c r="JL102" s="110"/>
      <c r="JM102" s="110"/>
      <c r="JN102" s="110"/>
      <c r="JO102" s="110"/>
      <c r="JP102" s="110"/>
      <c r="JQ102" s="110"/>
      <c r="JR102" s="110"/>
      <c r="JS102" s="110"/>
      <c r="JT102" s="110"/>
      <c r="JU102" s="110"/>
      <c r="JV102" s="110"/>
      <c r="JW102" s="110"/>
      <c r="JX102" s="110"/>
      <c r="JY102" s="110"/>
      <c r="JZ102" s="110"/>
      <c r="KA102" s="110"/>
      <c r="KB102" s="110"/>
      <c r="KC102" s="110"/>
      <c r="KD102" s="110"/>
      <c r="KE102" s="110"/>
      <c r="KF102" s="110"/>
      <c r="KG102" s="110"/>
      <c r="KH102" s="110"/>
      <c r="KI102" s="110"/>
      <c r="KJ102" s="110"/>
      <c r="KK102" s="110"/>
      <c r="KL102" s="110"/>
      <c r="KM102" s="110"/>
      <c r="KN102" s="110"/>
      <c r="KO102" s="110"/>
      <c r="KP102" s="110"/>
      <c r="KQ102" s="110"/>
      <c r="KR102" s="110"/>
      <c r="KS102" s="110"/>
      <c r="KT102" s="110"/>
      <c r="KU102" s="110"/>
      <c r="KV102" s="110"/>
      <c r="KW102" s="110"/>
      <c r="KX102" s="110"/>
      <c r="KY102" s="110"/>
      <c r="KZ102" s="110"/>
      <c r="LA102" s="110"/>
      <c r="LB102" s="110"/>
      <c r="LC102" s="110"/>
      <c r="LD102" s="110"/>
      <c r="LE102" s="110"/>
      <c r="LF102" s="110"/>
      <c r="LG102" s="110"/>
      <c r="LH102" s="110"/>
      <c r="LI102" s="110"/>
      <c r="LJ102" s="110"/>
      <c r="LK102" s="110"/>
      <c r="LL102" s="110"/>
      <c r="LM102" s="110"/>
      <c r="LN102" s="110"/>
      <c r="LO102" s="110"/>
      <c r="LP102" s="110"/>
      <c r="LQ102" s="110"/>
      <c r="LR102" s="110"/>
      <c r="LS102" s="110"/>
      <c r="LT102" s="110"/>
      <c r="LU102" s="110"/>
      <c r="LV102" s="110"/>
      <c r="LW102" s="110"/>
      <c r="LX102" s="110"/>
      <c r="LY102" s="110"/>
      <c r="LZ102" s="110"/>
      <c r="MA102" s="110"/>
      <c r="MB102" s="110"/>
      <c r="MC102" s="110"/>
      <c r="MD102" s="110"/>
      <c r="ME102" s="110"/>
      <c r="MF102" s="110"/>
      <c r="MG102" s="110"/>
      <c r="MH102" s="110"/>
      <c r="MI102" s="110"/>
      <c r="MJ102" s="110"/>
      <c r="MK102" s="110"/>
      <c r="ML102" s="110"/>
      <c r="MM102" s="110"/>
      <c r="MN102" s="110"/>
      <c r="MO102" s="110"/>
      <c r="MP102" s="110"/>
      <c r="MQ102" s="110"/>
      <c r="MR102" s="110"/>
      <c r="MS102" s="110"/>
      <c r="MT102" s="110"/>
      <c r="MU102" s="110"/>
      <c r="MV102" s="110"/>
      <c r="MW102" s="110"/>
      <c r="MX102" s="110"/>
      <c r="MY102" s="110"/>
      <c r="MZ102" s="110"/>
      <c r="NA102" s="110"/>
      <c r="NB102" s="110"/>
      <c r="NC102" s="110"/>
      <c r="ND102" s="110"/>
      <c r="NE102" s="110"/>
      <c r="NF102" s="110"/>
      <c r="NG102" s="110"/>
      <c r="NH102" s="110"/>
      <c r="NI102" s="110"/>
      <c r="NJ102" s="110"/>
      <c r="NK102" s="110"/>
      <c r="NL102" s="110"/>
      <c r="NM102" s="110"/>
      <c r="NN102" s="110"/>
      <c r="NO102" s="110"/>
      <c r="NP102" s="110"/>
      <c r="NQ102" s="110"/>
      <c r="NR102" s="110"/>
      <c r="NS102" s="110"/>
      <c r="NT102" s="110"/>
      <c r="NU102" s="110"/>
      <c r="NV102" s="110"/>
      <c r="NW102" s="110"/>
      <c r="NX102" s="110"/>
      <c r="NY102" s="110"/>
      <c r="NZ102" s="110"/>
      <c r="OA102" s="110"/>
      <c r="OB102" s="110"/>
      <c r="OC102" s="110"/>
      <c r="OD102" s="110"/>
      <c r="OE102" s="110"/>
      <c r="OF102" s="110"/>
      <c r="OG102" s="110"/>
      <c r="OH102" s="110"/>
      <c r="OI102" s="110"/>
      <c r="OJ102" s="110"/>
      <c r="OK102" s="110"/>
      <c r="OL102" s="110"/>
      <c r="OM102" s="110"/>
      <c r="ON102" s="110"/>
      <c r="OO102" s="110"/>
      <c r="OP102" s="110"/>
      <c r="OQ102" s="110"/>
      <c r="OR102" s="110"/>
      <c r="OS102" s="110"/>
      <c r="OT102" s="110"/>
      <c r="OU102" s="110"/>
      <c r="OV102" s="110"/>
      <c r="OW102" s="110"/>
      <c r="OX102" s="110"/>
      <c r="OY102" s="110"/>
      <c r="OZ102" s="110"/>
      <c r="PA102" s="110"/>
      <c r="PB102" s="110"/>
      <c r="PC102" s="110"/>
      <c r="PD102" s="110"/>
      <c r="PE102" s="110"/>
      <c r="PF102" s="110"/>
      <c r="PG102" s="110"/>
      <c r="PH102" s="110"/>
      <c r="PI102" s="110"/>
      <c r="PJ102" s="110"/>
      <c r="PK102" s="110"/>
      <c r="PL102" s="110"/>
      <c r="PM102" s="110"/>
      <c r="PN102" s="110"/>
      <c r="PO102" s="110"/>
      <c r="PP102" s="110"/>
      <c r="PQ102" s="110"/>
      <c r="PR102" s="110"/>
      <c r="PS102" s="110"/>
      <c r="PT102" s="110"/>
      <c r="PU102" s="110"/>
      <c r="PV102" s="110"/>
      <c r="PW102" s="110"/>
      <c r="PX102" s="110"/>
      <c r="PY102" s="110"/>
      <c r="PZ102" s="110"/>
      <c r="QA102" s="110"/>
      <c r="QB102" s="110"/>
      <c r="QC102" s="110"/>
      <c r="QD102" s="110"/>
      <c r="QE102" s="110"/>
      <c r="QF102" s="110"/>
      <c r="QG102" s="110"/>
      <c r="QH102" s="110"/>
      <c r="QI102" s="110"/>
      <c r="QJ102" s="110"/>
      <c r="QK102" s="110"/>
      <c r="QL102" s="110"/>
      <c r="QM102" s="110"/>
      <c r="QN102" s="110"/>
      <c r="QO102" s="110"/>
      <c r="QP102" s="110"/>
      <c r="QQ102" s="110"/>
      <c r="QR102" s="110"/>
      <c r="QS102" s="110"/>
      <c r="QT102" s="110"/>
      <c r="QU102" s="110"/>
      <c r="QV102" s="110"/>
      <c r="QW102" s="110"/>
      <c r="QX102" s="110"/>
      <c r="QY102" s="110"/>
      <c r="QZ102" s="110"/>
      <c r="RA102" s="110"/>
      <c r="RB102" s="110"/>
      <c r="RC102" s="110"/>
      <c r="RD102" s="110"/>
      <c r="RE102" s="110"/>
      <c r="RF102" s="110"/>
      <c r="RG102" s="110"/>
      <c r="RH102" s="110"/>
      <c r="RI102" s="110"/>
      <c r="RJ102" s="110"/>
      <c r="RK102" s="110"/>
      <c r="RL102" s="110"/>
      <c r="RM102" s="110"/>
      <c r="RN102" s="110"/>
      <c r="RO102" s="110"/>
      <c r="RP102" s="110"/>
      <c r="RQ102" s="110"/>
      <c r="RR102" s="110"/>
      <c r="RS102" s="110"/>
      <c r="RT102" s="110"/>
      <c r="RU102" s="110"/>
      <c r="RV102" s="110"/>
      <c r="RW102" s="110"/>
      <c r="RX102" s="110"/>
      <c r="RY102" s="110"/>
      <c r="RZ102" s="110"/>
      <c r="SA102" s="110"/>
      <c r="SB102" s="110"/>
      <c r="SC102" s="110"/>
      <c r="SD102" s="110"/>
      <c r="SE102" s="110"/>
      <c r="SF102" s="110"/>
      <c r="SG102" s="110"/>
      <c r="SH102" s="110"/>
      <c r="SI102" s="110"/>
      <c r="SJ102" s="110"/>
      <c r="SK102" s="110"/>
      <c r="SL102" s="110"/>
      <c r="SM102" s="110"/>
      <c r="SN102" s="110"/>
      <c r="SO102" s="110"/>
      <c r="SP102" s="110"/>
      <c r="SQ102" s="110"/>
      <c r="SR102" s="110"/>
      <c r="SS102" s="110"/>
      <c r="ST102" s="110"/>
      <c r="SU102" s="110"/>
      <c r="SV102" s="110"/>
      <c r="SW102" s="110"/>
      <c r="SX102" s="110"/>
      <c r="SY102" s="110"/>
      <c r="SZ102" s="110"/>
      <c r="TA102" s="110"/>
      <c r="TB102" s="110"/>
      <c r="TC102" s="110"/>
      <c r="TD102" s="110"/>
      <c r="TE102" s="110"/>
      <c r="TF102" s="110"/>
      <c r="TG102" s="110"/>
      <c r="TH102" s="110"/>
      <c r="TI102" s="110"/>
      <c r="TJ102" s="110"/>
      <c r="TK102" s="110"/>
      <c r="TL102" s="110"/>
      <c r="TM102" s="110"/>
      <c r="TN102" s="110"/>
      <c r="TO102" s="110"/>
      <c r="TP102" s="110"/>
      <c r="TQ102" s="110"/>
      <c r="TR102" s="110"/>
      <c r="TS102" s="110"/>
      <c r="TT102" s="110"/>
      <c r="TU102" s="110"/>
      <c r="TV102" s="110"/>
      <c r="TW102" s="110"/>
      <c r="TX102" s="110"/>
      <c r="TY102" s="110"/>
      <c r="TZ102" s="110"/>
      <c r="UA102" s="110"/>
      <c r="UB102" s="110"/>
      <c r="UC102" s="110"/>
      <c r="UD102" s="110"/>
      <c r="UE102" s="110"/>
      <c r="UF102" s="110"/>
      <c r="UG102" s="110"/>
      <c r="UH102" s="110"/>
      <c r="UI102" s="110"/>
      <c r="UJ102" s="110"/>
      <c r="UK102" s="110"/>
      <c r="UL102" s="110"/>
      <c r="UM102" s="110"/>
      <c r="UN102" s="110"/>
      <c r="UO102" s="110"/>
      <c r="UP102" s="110"/>
      <c r="UQ102" s="110"/>
      <c r="UR102" s="110"/>
      <c r="US102" s="110"/>
      <c r="UT102" s="110"/>
      <c r="UU102" s="110"/>
      <c r="UV102" s="110"/>
      <c r="UW102" s="110"/>
      <c r="UX102" s="110"/>
      <c r="UY102" s="110"/>
      <c r="UZ102" s="110"/>
      <c r="VA102" s="110"/>
      <c r="VB102" s="110"/>
      <c r="VC102" s="110"/>
      <c r="VD102" s="110"/>
      <c r="VE102" s="110"/>
      <c r="VF102" s="110"/>
      <c r="VG102" s="110"/>
      <c r="VH102" s="110"/>
      <c r="VI102" s="110"/>
      <c r="VJ102" s="110"/>
      <c r="VK102" s="110"/>
      <c r="VL102" s="110"/>
      <c r="VM102" s="110"/>
      <c r="VN102" s="110"/>
      <c r="VO102" s="110"/>
      <c r="VP102" s="110"/>
      <c r="VQ102" s="110"/>
      <c r="VR102" s="110"/>
      <c r="VS102" s="110"/>
      <c r="VT102" s="110"/>
      <c r="VU102" s="110"/>
      <c r="VV102" s="110"/>
      <c r="VW102" s="110"/>
      <c r="VX102" s="110"/>
      <c r="VY102" s="110"/>
      <c r="VZ102" s="110"/>
      <c r="WA102" s="110"/>
      <c r="WB102" s="110"/>
      <c r="WC102" s="110"/>
      <c r="WD102" s="110"/>
      <c r="WE102" s="110"/>
      <c r="WF102" s="110"/>
      <c r="WG102" s="110"/>
      <c r="WH102" s="110"/>
      <c r="WI102" s="110"/>
      <c r="WJ102" s="110"/>
      <c r="WK102" s="110"/>
      <c r="WL102" s="110"/>
      <c r="WM102" s="110"/>
      <c r="WN102" s="110"/>
      <c r="WO102" s="110"/>
      <c r="WP102" s="110"/>
      <c r="WQ102" s="110"/>
      <c r="WR102" s="110"/>
      <c r="WS102" s="110"/>
      <c r="WT102" s="110"/>
      <c r="WU102" s="110"/>
      <c r="WV102" s="110"/>
      <c r="WW102" s="110"/>
      <c r="WX102" s="110"/>
      <c r="WY102" s="110"/>
      <c r="WZ102" s="110"/>
      <c r="XA102" s="110"/>
      <c r="XB102" s="110"/>
      <c r="XC102" s="110"/>
      <c r="XD102" s="110"/>
      <c r="XE102" s="110"/>
      <c r="XF102" s="110"/>
      <c r="XG102" s="110"/>
      <c r="XH102" s="110"/>
      <c r="XI102" s="110"/>
      <c r="XJ102" s="110"/>
      <c r="XK102" s="110"/>
      <c r="XL102" s="110"/>
      <c r="XM102" s="110"/>
      <c r="XN102" s="110"/>
      <c r="XO102" s="110"/>
      <c r="XP102" s="110"/>
      <c r="XQ102" s="110"/>
      <c r="XR102" s="110"/>
      <c r="XS102" s="110"/>
      <c r="XT102" s="110"/>
      <c r="XU102" s="110"/>
      <c r="XV102" s="110"/>
      <c r="XW102" s="110"/>
      <c r="XX102" s="110"/>
      <c r="XY102" s="110"/>
      <c r="XZ102" s="110"/>
      <c r="YA102" s="110"/>
      <c r="YB102" s="110"/>
      <c r="YC102" s="110"/>
      <c r="YD102" s="110"/>
      <c r="YE102" s="110"/>
      <c r="YF102" s="110"/>
      <c r="YG102" s="110"/>
      <c r="YH102" s="110"/>
      <c r="YI102" s="110"/>
      <c r="YJ102" s="110"/>
      <c r="YK102" s="110"/>
      <c r="YL102" s="110"/>
      <c r="YM102" s="110"/>
      <c r="YN102" s="110"/>
      <c r="YO102" s="110"/>
      <c r="YP102" s="110"/>
      <c r="YQ102" s="110"/>
      <c r="YR102" s="110"/>
      <c r="YS102" s="110"/>
      <c r="YT102" s="110"/>
      <c r="YU102" s="110"/>
      <c r="YV102" s="110"/>
      <c r="YW102" s="110"/>
      <c r="YX102" s="110"/>
      <c r="YY102" s="110"/>
      <c r="YZ102" s="110"/>
      <c r="ZA102" s="110"/>
      <c r="ZB102" s="110"/>
      <c r="ZC102" s="110"/>
      <c r="ZD102" s="110"/>
      <c r="ZE102" s="110"/>
      <c r="ZF102" s="110"/>
      <c r="ZG102" s="110"/>
      <c r="ZH102" s="110"/>
      <c r="ZI102" s="110"/>
      <c r="ZJ102" s="110"/>
      <c r="ZK102" s="110"/>
      <c r="ZL102" s="110"/>
      <c r="ZM102" s="110"/>
      <c r="ZN102" s="110"/>
      <c r="ZO102" s="110"/>
      <c r="ZP102" s="110"/>
      <c r="ZQ102" s="110"/>
      <c r="ZR102" s="110"/>
      <c r="ZS102" s="110"/>
      <c r="ZT102" s="110"/>
      <c r="ZU102" s="110"/>
      <c r="ZV102" s="110"/>
      <c r="ZW102" s="110"/>
      <c r="ZX102" s="110"/>
      <c r="ZY102" s="110"/>
      <c r="ZZ102" s="110"/>
      <c r="AAA102" s="110"/>
      <c r="AAB102" s="110"/>
      <c r="AAC102" s="110"/>
      <c r="AAD102" s="110"/>
      <c r="AAE102" s="110"/>
      <c r="AAF102" s="110"/>
      <c r="AAG102" s="110"/>
      <c r="AAH102" s="110"/>
      <c r="AAI102" s="110"/>
      <c r="AAJ102" s="110"/>
      <c r="AAK102" s="110"/>
      <c r="AAL102" s="110"/>
      <c r="AAM102" s="110"/>
      <c r="AAN102" s="110"/>
      <c r="AAO102" s="110"/>
      <c r="AAP102" s="110"/>
      <c r="AAQ102" s="110"/>
      <c r="AAR102" s="110"/>
      <c r="AAS102" s="110"/>
      <c r="AAT102" s="110"/>
      <c r="AAU102" s="110"/>
      <c r="AAV102" s="110"/>
      <c r="AAW102" s="110"/>
      <c r="AAX102" s="110"/>
      <c r="AAY102" s="110"/>
      <c r="AAZ102" s="110"/>
      <c r="ABA102" s="110"/>
      <c r="ABB102" s="110"/>
      <c r="ABC102" s="110"/>
      <c r="ABD102" s="110"/>
      <c r="ABE102" s="110"/>
      <c r="ABF102" s="110"/>
      <c r="ABG102" s="110"/>
      <c r="ABH102" s="110"/>
      <c r="ABI102" s="110"/>
      <c r="ABJ102" s="110"/>
      <c r="ABK102" s="110"/>
      <c r="ABL102" s="110"/>
      <c r="ABM102" s="110"/>
      <c r="ABN102" s="110"/>
      <c r="ABO102" s="110"/>
      <c r="ABP102" s="110"/>
      <c r="ABQ102" s="110"/>
      <c r="ABR102" s="110"/>
      <c r="ABS102" s="110"/>
      <c r="ABT102" s="110"/>
      <c r="ABU102" s="110"/>
      <c r="ABV102" s="110"/>
      <c r="ABW102" s="110"/>
      <c r="ABX102" s="110"/>
      <c r="ABY102" s="110"/>
      <c r="ABZ102" s="110"/>
      <c r="ACA102" s="110"/>
      <c r="ACB102" s="110"/>
      <c r="ACC102" s="110"/>
      <c r="ACD102" s="110"/>
      <c r="ACE102" s="110"/>
      <c r="ACF102" s="110"/>
      <c r="ACG102" s="110"/>
      <c r="ACH102" s="110"/>
      <c r="ACI102" s="110"/>
      <c r="ACJ102" s="110"/>
      <c r="ACK102" s="110"/>
      <c r="ACL102" s="110"/>
      <c r="ACM102" s="110"/>
      <c r="ACN102" s="110"/>
      <c r="ACO102" s="110"/>
      <c r="ACP102" s="110"/>
      <c r="ACQ102" s="110"/>
      <c r="ACR102" s="110"/>
      <c r="ACS102" s="110"/>
      <c r="ACT102" s="110"/>
      <c r="ACU102" s="110"/>
      <c r="ACV102" s="110"/>
      <c r="ACW102" s="110"/>
      <c r="ACX102" s="110"/>
      <c r="ACY102" s="110"/>
      <c r="ACZ102" s="110"/>
      <c r="ADA102" s="110"/>
      <c r="ADB102" s="110"/>
      <c r="ADC102" s="110"/>
      <c r="ADD102" s="110"/>
      <c r="ADE102" s="110"/>
      <c r="ADF102" s="110"/>
      <c r="ADG102" s="110"/>
      <c r="ADH102" s="110"/>
      <c r="ADI102" s="110"/>
      <c r="ADJ102" s="110"/>
      <c r="ADK102" s="110"/>
      <c r="ADL102" s="110"/>
      <c r="ADM102" s="110"/>
      <c r="ADN102" s="110"/>
      <c r="ADO102" s="110"/>
      <c r="ADP102" s="110"/>
      <c r="ADQ102" s="110"/>
      <c r="ADR102" s="110"/>
      <c r="ADS102" s="110"/>
      <c r="ADT102" s="110"/>
      <c r="ADU102" s="110"/>
      <c r="ADV102" s="110"/>
      <c r="ADW102" s="110"/>
      <c r="ADX102" s="110"/>
      <c r="ADY102" s="110"/>
      <c r="ADZ102" s="110"/>
      <c r="AEA102" s="110"/>
      <c r="AEB102" s="110"/>
      <c r="AEC102" s="110"/>
      <c r="AED102" s="110"/>
      <c r="AEE102" s="110"/>
      <c r="AEF102" s="110"/>
      <c r="AEG102" s="110"/>
      <c r="AEH102" s="110"/>
      <c r="AEI102" s="110"/>
      <c r="AEJ102" s="110"/>
      <c r="AEK102" s="110"/>
      <c r="AEL102" s="110"/>
      <c r="AEM102" s="110"/>
      <c r="AEN102" s="110"/>
      <c r="AEO102" s="110"/>
      <c r="AEP102" s="110"/>
      <c r="AEQ102" s="110"/>
      <c r="AER102" s="110"/>
      <c r="AES102" s="110"/>
      <c r="AET102" s="110"/>
      <c r="AEU102" s="110"/>
      <c r="AEV102" s="110"/>
      <c r="AEW102" s="110"/>
      <c r="AEX102" s="110"/>
      <c r="AEY102" s="110"/>
      <c r="AEZ102" s="110"/>
      <c r="AFA102" s="110"/>
      <c r="AFB102" s="110"/>
      <c r="AFC102" s="110"/>
      <c r="AFD102" s="110"/>
      <c r="AFE102" s="110"/>
      <c r="AFF102" s="110"/>
      <c r="AFG102" s="110"/>
      <c r="AFH102" s="110"/>
      <c r="AFI102" s="110"/>
      <c r="AFJ102" s="110"/>
      <c r="AFK102" s="110"/>
      <c r="AFL102" s="110"/>
      <c r="AFM102" s="110"/>
      <c r="AFN102" s="110"/>
      <c r="AFO102" s="110"/>
      <c r="AFP102" s="110"/>
      <c r="AFQ102" s="110"/>
      <c r="AFR102" s="110"/>
      <c r="AFS102" s="110"/>
      <c r="AFT102" s="110"/>
      <c r="AFU102" s="110"/>
      <c r="AFV102" s="110"/>
      <c r="AFW102" s="110"/>
      <c r="AFX102" s="110"/>
      <c r="AFY102" s="110"/>
      <c r="AFZ102" s="110"/>
      <c r="AGA102" s="110"/>
      <c r="AGB102" s="110"/>
      <c r="AGC102" s="110"/>
      <c r="AGD102" s="110"/>
      <c r="AGE102" s="110"/>
      <c r="AGF102" s="110"/>
      <c r="AGG102" s="110"/>
      <c r="AGH102" s="110"/>
      <c r="AGI102" s="110"/>
      <c r="AGJ102" s="110"/>
      <c r="AGK102" s="110"/>
      <c r="AGL102" s="110"/>
      <c r="AGM102" s="110"/>
      <c r="AGN102" s="110"/>
      <c r="AGO102" s="110"/>
      <c r="AGP102" s="110"/>
      <c r="AGQ102" s="110"/>
      <c r="AGR102" s="110"/>
      <c r="AGS102" s="110"/>
      <c r="AGT102" s="110"/>
      <c r="AGU102" s="110"/>
      <c r="AGV102" s="110"/>
      <c r="AGW102" s="110"/>
      <c r="AGX102" s="110"/>
      <c r="AGY102" s="110"/>
      <c r="AGZ102" s="110"/>
      <c r="AHA102" s="110"/>
      <c r="AHB102" s="110"/>
      <c r="AHC102" s="110"/>
      <c r="AHD102" s="110"/>
      <c r="AHE102" s="110"/>
      <c r="AHF102" s="110"/>
      <c r="AHG102" s="110"/>
      <c r="AHH102" s="110"/>
      <c r="AHI102" s="110"/>
      <c r="AHJ102" s="110"/>
      <c r="AHK102" s="110"/>
      <c r="AHL102" s="110"/>
      <c r="AHM102" s="110"/>
      <c r="AHN102" s="110"/>
      <c r="AHO102" s="110"/>
      <c r="AHP102" s="110"/>
      <c r="AHQ102" s="110"/>
      <c r="AHR102" s="110"/>
      <c r="AHS102" s="110"/>
      <c r="AHT102" s="110"/>
      <c r="AHU102" s="110"/>
      <c r="AHV102" s="110"/>
      <c r="AHW102" s="110"/>
      <c r="AHX102" s="110"/>
      <c r="AHY102" s="110"/>
      <c r="AHZ102" s="110"/>
      <c r="AIA102" s="110"/>
      <c r="AIB102" s="110"/>
      <c r="AIC102" s="110"/>
      <c r="AID102" s="110"/>
      <c r="AIE102" s="110"/>
      <c r="AIF102" s="110"/>
      <c r="AIG102" s="110"/>
      <c r="AIH102" s="110"/>
      <c r="AII102" s="110"/>
      <c r="AIJ102" s="110"/>
      <c r="AIK102" s="110"/>
      <c r="AIL102" s="110"/>
      <c r="AIM102" s="110"/>
      <c r="AIN102" s="110"/>
      <c r="AIO102" s="110"/>
      <c r="AIP102" s="110"/>
      <c r="AIQ102" s="110"/>
      <c r="AIR102" s="110"/>
      <c r="AIS102" s="110"/>
      <c r="AIT102" s="110"/>
      <c r="AIU102" s="110"/>
      <c r="AIV102" s="110"/>
      <c r="AIW102" s="110"/>
      <c r="AIX102" s="110"/>
      <c r="AIY102" s="110"/>
      <c r="AIZ102" s="110"/>
      <c r="AJA102" s="110"/>
      <c r="AJB102" s="110"/>
      <c r="AJC102" s="110"/>
      <c r="AJD102" s="110"/>
      <c r="AJE102" s="110"/>
      <c r="AJF102" s="110"/>
      <c r="AJG102" s="110"/>
      <c r="AJH102" s="110"/>
      <c r="AJI102" s="110"/>
      <c r="AJJ102" s="110"/>
      <c r="AJK102" s="110"/>
      <c r="AJL102" s="110"/>
      <c r="AJM102" s="110"/>
      <c r="AJN102" s="110"/>
      <c r="AJO102" s="110"/>
      <c r="AJP102" s="110"/>
      <c r="AJQ102" s="110"/>
      <c r="AJR102" s="110"/>
      <c r="AJS102" s="110"/>
      <c r="AJT102" s="110"/>
      <c r="AJU102" s="110"/>
      <c r="AJV102" s="110"/>
      <c r="AJW102" s="110"/>
      <c r="AJX102" s="110"/>
      <c r="AJY102" s="110"/>
      <c r="AJZ102" s="110"/>
      <c r="AKA102" s="110"/>
      <c r="AKB102" s="110"/>
      <c r="AKC102" s="110"/>
      <c r="AKD102" s="110"/>
      <c r="AKE102" s="110"/>
      <c r="AKF102" s="110"/>
      <c r="AKG102" s="110"/>
      <c r="AKH102" s="110"/>
      <c r="AKI102" s="110"/>
      <c r="AKJ102" s="110"/>
      <c r="AKK102" s="110"/>
      <c r="AKL102" s="110"/>
      <c r="AKM102" s="110"/>
      <c r="AKN102" s="110"/>
      <c r="AKO102" s="110"/>
      <c r="AKP102" s="110"/>
      <c r="AKQ102" s="110"/>
      <c r="AKR102" s="110"/>
      <c r="AKS102" s="110"/>
      <c r="AKT102" s="110"/>
      <c r="AKU102" s="110"/>
      <c r="AKV102" s="110"/>
      <c r="AKW102" s="110"/>
      <c r="AKX102" s="110"/>
      <c r="AKY102" s="110"/>
      <c r="AKZ102" s="110"/>
      <c r="ALA102" s="110"/>
      <c r="ALB102" s="110"/>
      <c r="ALC102" s="110"/>
      <c r="ALD102" s="110"/>
      <c r="ALE102" s="110"/>
      <c r="ALF102" s="110"/>
      <c r="ALG102" s="110"/>
      <c r="ALH102" s="110"/>
      <c r="ALI102" s="110"/>
      <c r="ALJ102" s="110"/>
      <c r="ALK102" s="110"/>
      <c r="ALL102" s="110"/>
      <c r="ALM102" s="110"/>
      <c r="ALN102" s="110"/>
      <c r="ALO102" s="110"/>
      <c r="ALP102" s="110"/>
      <c r="ALQ102" s="110"/>
      <c r="ALR102" s="110"/>
      <c r="ALS102" s="110"/>
      <c r="ALT102" s="110"/>
      <c r="ALU102" s="110"/>
      <c r="ALV102" s="110"/>
      <c r="ALW102" s="110"/>
      <c r="ALX102" s="110"/>
      <c r="ALY102" s="110"/>
      <c r="ALZ102" s="110"/>
      <c r="AMA102" s="110"/>
      <c r="AMB102" s="110"/>
      <c r="AMC102" s="110"/>
      <c r="AMD102" s="110"/>
      <c r="AME102" s="110"/>
      <c r="AMF102" s="110"/>
      <c r="AMG102" s="110"/>
      <c r="AMH102" s="110"/>
      <c r="AMI102" s="110"/>
      <c r="AMJ102" s="110"/>
      <c r="AMK102" s="110"/>
      <c r="AML102" s="110"/>
      <c r="AMM102" s="110"/>
      <c r="AMN102" s="110"/>
      <c r="AMO102" s="110"/>
      <c r="AMP102" s="110"/>
      <c r="AMQ102" s="110"/>
      <c r="AMR102" s="110"/>
      <c r="AMS102" s="110"/>
      <c r="AMT102" s="110"/>
      <c r="AMU102" s="110"/>
      <c r="AMV102" s="110"/>
      <c r="AMW102" s="110"/>
      <c r="AMX102" s="110"/>
      <c r="AMY102" s="110"/>
      <c r="AMZ102" s="110"/>
      <c r="ANA102" s="110"/>
      <c r="ANB102" s="110"/>
      <c r="ANC102" s="110"/>
      <c r="AND102" s="110"/>
      <c r="ANE102" s="110"/>
      <c r="ANF102" s="110"/>
      <c r="ANG102" s="110"/>
      <c r="ANH102" s="110"/>
      <c r="ANI102" s="110"/>
      <c r="ANJ102" s="110"/>
      <c r="ANK102" s="110"/>
      <c r="ANL102" s="110"/>
      <c r="ANM102" s="110"/>
      <c r="ANN102" s="110"/>
      <c r="ANO102" s="110"/>
      <c r="ANP102" s="110"/>
      <c r="ANQ102" s="110"/>
      <c r="ANR102" s="110"/>
      <c r="ANS102" s="110"/>
      <c r="ANT102" s="110"/>
      <c r="ANU102" s="110"/>
      <c r="ANV102" s="110"/>
      <c r="ANW102" s="110"/>
      <c r="ANX102" s="110"/>
      <c r="ANY102" s="110"/>
      <c r="ANZ102" s="110"/>
      <c r="AOA102" s="110"/>
      <c r="AOB102" s="110"/>
      <c r="AOC102" s="110"/>
      <c r="AOD102" s="110"/>
      <c r="AOE102" s="110"/>
      <c r="AOF102" s="110"/>
      <c r="AOG102" s="110"/>
      <c r="AOH102" s="110"/>
      <c r="AOI102" s="110"/>
      <c r="AOJ102" s="110"/>
      <c r="AOK102" s="110"/>
      <c r="AOL102" s="110"/>
      <c r="AOM102" s="110"/>
      <c r="AON102" s="110"/>
      <c r="AOO102" s="110"/>
      <c r="AOP102" s="110"/>
      <c r="AOQ102" s="110"/>
      <c r="AOR102" s="110"/>
      <c r="AOS102" s="110"/>
      <c r="AOT102" s="110"/>
      <c r="AOU102" s="110"/>
      <c r="AOV102" s="110"/>
      <c r="AOW102" s="110"/>
      <c r="AOX102" s="110"/>
      <c r="AOY102" s="110"/>
      <c r="AOZ102" s="110"/>
      <c r="APA102" s="110"/>
      <c r="APB102" s="110"/>
      <c r="APC102" s="110"/>
      <c r="APD102" s="110"/>
      <c r="APE102" s="110"/>
      <c r="APF102" s="110"/>
      <c r="APG102" s="110"/>
      <c r="APH102" s="110"/>
      <c r="API102" s="110"/>
      <c r="APJ102" s="110"/>
      <c r="APK102" s="110"/>
      <c r="APL102" s="110"/>
      <c r="APM102" s="110"/>
      <c r="APN102" s="110"/>
      <c r="APO102" s="110"/>
      <c r="APP102" s="110"/>
      <c r="APQ102" s="110"/>
      <c r="APR102" s="110"/>
      <c r="APS102" s="110"/>
      <c r="APT102" s="110"/>
      <c r="APU102" s="110"/>
      <c r="APV102" s="110"/>
      <c r="APW102" s="110"/>
      <c r="APX102" s="110"/>
      <c r="APY102" s="110"/>
      <c r="APZ102" s="110"/>
      <c r="AQA102" s="110"/>
      <c r="AQB102" s="110"/>
      <c r="AQC102" s="110"/>
      <c r="AQD102" s="110"/>
      <c r="AQE102" s="110"/>
      <c r="AQF102" s="110"/>
      <c r="AQG102" s="110"/>
      <c r="AQH102" s="110"/>
      <c r="AQI102" s="110"/>
      <c r="AQJ102" s="110"/>
      <c r="AQK102" s="110"/>
      <c r="AQL102" s="110"/>
      <c r="AQM102" s="110"/>
      <c r="AQN102" s="110"/>
      <c r="AQO102" s="110"/>
      <c r="AQP102" s="110"/>
      <c r="AQQ102" s="110"/>
      <c r="AQR102" s="110"/>
      <c r="AQS102" s="110"/>
      <c r="AQT102" s="110"/>
      <c r="AQU102" s="110"/>
      <c r="AQV102" s="110"/>
      <c r="AQW102" s="110"/>
      <c r="AQX102" s="110"/>
      <c r="AQY102" s="110"/>
      <c r="AQZ102" s="110"/>
      <c r="ARA102" s="110"/>
      <c r="ARB102" s="110"/>
      <c r="ARC102" s="110"/>
      <c r="ARD102" s="110"/>
      <c r="ARE102" s="110"/>
    </row>
  </sheetData>
  <mergeCells count="8">
    <mergeCell ref="CH90:CT90"/>
    <mergeCell ref="CV90:DH90"/>
    <mergeCell ref="B90:N90"/>
    <mergeCell ref="P90:AB90"/>
    <mergeCell ref="AD90:AP90"/>
    <mergeCell ref="AR90:BD90"/>
    <mergeCell ref="BF90:BR90"/>
    <mergeCell ref="BT90:CF90"/>
  </mergeCells>
  <phoneticPr fontId="63" type="noConversion"/>
  <hyperlinks>
    <hyperlink ref="B4" r:id="rId1" location="_ftn1" display="applewebdata://FE6A70A5-3F31-4642-BA9D-649A650C9EF7/ - _ftn1" xr:uid="{D3A6C3B0-5445-5948-87D1-B93305BFDED2}"/>
  </hyperlinks>
  <printOptions horizontalCentered="1"/>
  <pageMargins left="0.23" right="0.24" top="0.43307086614173229" bottom="0.47244094488188981" header="0.23622047244094491" footer="0.23622047244094491"/>
  <pageSetup paperSize="8" scale="80" firstPageNumber="15" orientation="landscape" useFirstPageNumber="1" r:id="rId2"/>
  <headerFooter alignWithMargins="0">
    <oddFooter>&amp;C&amp;"Times New Roman,Regular"&amp;12&amp;P</oddFooter>
  </headerFooter>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AE081F-06A5-284B-B85F-40F737464623}">
  <sheetPr>
    <tabColor theme="9" tint="-0.499984740745262"/>
  </sheetPr>
  <dimension ref="A1:AF315"/>
  <sheetViews>
    <sheetView zoomScale="90" zoomScaleNormal="90" zoomScaleSheetLayoutView="75" workbookViewId="0">
      <pane ySplit="3" topLeftCell="A4" activePane="bottomLeft" state="frozen"/>
      <selection pane="bottomLeft" activeCell="A4" sqref="A4"/>
    </sheetView>
  </sheetViews>
  <sheetFormatPr defaultColWidth="7.7109375" defaultRowHeight="12.75"/>
  <cols>
    <col min="1" max="1" width="5.42578125" style="110" customWidth="1"/>
    <col min="2" max="2" width="16" style="110" customWidth="1"/>
    <col min="3" max="3" width="10" style="110" customWidth="1"/>
    <col min="4" max="4" width="58.85546875" style="110" customWidth="1"/>
    <col min="5" max="5" width="9.140625" style="111" customWidth="1"/>
    <col min="6" max="6" width="13.28515625" style="110" customWidth="1"/>
    <col min="7" max="7" width="8.7109375" style="110" customWidth="1"/>
    <col min="8" max="9" width="7.7109375" style="110"/>
    <col min="10" max="11" width="8.42578125" style="110" customWidth="1"/>
    <col min="12" max="12" width="7.85546875" style="110" customWidth="1"/>
    <col min="13" max="13" width="11.42578125" style="110" customWidth="1"/>
    <col min="14" max="14" width="7.85546875" style="110" customWidth="1"/>
    <col min="15" max="15" width="10.7109375" style="251" customWidth="1"/>
    <col min="16" max="16" width="7.85546875" style="110" customWidth="1"/>
    <col min="17" max="17" width="10.140625" style="110" customWidth="1"/>
    <col min="18" max="16384" width="7.7109375" style="110"/>
  </cols>
  <sheetData>
    <row r="1" spans="1:32" s="106" customFormat="1" ht="21">
      <c r="A1" s="105" t="s">
        <v>138</v>
      </c>
      <c r="D1" s="107"/>
      <c r="E1" s="108"/>
      <c r="F1" s="109"/>
      <c r="O1" s="250"/>
    </row>
    <row r="2" spans="1:32">
      <c r="F2" s="112" t="s">
        <v>139</v>
      </c>
      <c r="G2" s="110" t="s">
        <v>140</v>
      </c>
    </row>
    <row r="3" spans="1:32">
      <c r="A3" s="113" t="s">
        <v>141</v>
      </c>
      <c r="B3" s="114" t="s">
        <v>142</v>
      </c>
      <c r="C3" s="114" t="s">
        <v>74</v>
      </c>
      <c r="D3" s="114" t="s">
        <v>143</v>
      </c>
      <c r="F3" s="112" t="s">
        <v>144</v>
      </c>
      <c r="G3" s="110" t="s">
        <v>145</v>
      </c>
    </row>
    <row r="4" spans="1:32" s="116" customFormat="1" ht="15">
      <c r="A4" s="115" t="s">
        <v>146</v>
      </c>
      <c r="O4" s="252"/>
    </row>
    <row r="5" spans="1:32" s="117" customFormat="1" ht="51" customHeight="1">
      <c r="E5" s="118" t="s">
        <v>147</v>
      </c>
      <c r="F5" s="119" t="s">
        <v>148</v>
      </c>
      <c r="H5" s="120" t="s">
        <v>149</v>
      </c>
      <c r="I5" s="110"/>
      <c r="J5" s="110"/>
      <c r="K5" s="110"/>
      <c r="L5" s="587" t="s">
        <v>150</v>
      </c>
      <c r="M5" s="122" t="s">
        <v>74</v>
      </c>
      <c r="N5" s="110"/>
      <c r="O5" s="251"/>
      <c r="P5" s="110"/>
      <c r="Q5" s="110"/>
      <c r="R5" s="110"/>
      <c r="S5" s="110"/>
      <c r="U5" s="123"/>
      <c r="V5" s="750" t="s">
        <v>151</v>
      </c>
      <c r="W5" s="751"/>
      <c r="X5" s="751"/>
      <c r="Y5" s="751"/>
      <c r="Z5" s="751"/>
      <c r="AA5" s="751"/>
      <c r="AB5" s="751"/>
      <c r="AC5" s="751"/>
      <c r="AD5" s="123"/>
      <c r="AE5" s="124" t="s">
        <v>152</v>
      </c>
      <c r="AF5" s="125" t="s">
        <v>146</v>
      </c>
    </row>
    <row r="6" spans="1:32" ht="15.75">
      <c r="A6" s="126">
        <v>2011</v>
      </c>
      <c r="B6" s="127" t="s">
        <v>153</v>
      </c>
      <c r="C6" s="128" t="str">
        <f>$M$6</f>
        <v>A</v>
      </c>
      <c r="D6" s="129" t="s">
        <v>154</v>
      </c>
      <c r="E6" s="130">
        <v>12000</v>
      </c>
      <c r="F6" s="131" t="s">
        <v>155</v>
      </c>
      <c r="H6" s="114" t="s">
        <v>156</v>
      </c>
      <c r="I6" s="114" t="s">
        <v>74</v>
      </c>
      <c r="J6" s="117"/>
      <c r="K6" s="117"/>
      <c r="L6" s="132" t="s">
        <v>141</v>
      </c>
      <c r="M6" s="133" t="s">
        <v>157</v>
      </c>
      <c r="N6" s="133" t="s">
        <v>158</v>
      </c>
      <c r="O6" s="253" t="s">
        <v>159</v>
      </c>
      <c r="P6" s="133" t="s">
        <v>160</v>
      </c>
      <c r="Q6" s="133" t="s">
        <v>161</v>
      </c>
      <c r="R6" s="133" t="s">
        <v>162</v>
      </c>
      <c r="S6" s="134" t="s">
        <v>113</v>
      </c>
      <c r="U6" s="135" t="s">
        <v>141</v>
      </c>
      <c r="V6" s="136" t="s">
        <v>72</v>
      </c>
      <c r="W6" s="137" t="s">
        <v>107</v>
      </c>
      <c r="X6" s="137" t="s">
        <v>73</v>
      </c>
      <c r="Y6" s="137" t="s">
        <v>163</v>
      </c>
      <c r="Z6" s="137" t="s">
        <v>108</v>
      </c>
      <c r="AA6" s="137" t="s">
        <v>164</v>
      </c>
      <c r="AB6" s="137" t="s">
        <v>165</v>
      </c>
      <c r="AC6" s="138" t="s">
        <v>110</v>
      </c>
      <c r="AD6" s="139" t="s">
        <v>166</v>
      </c>
      <c r="AE6" s="140"/>
      <c r="AF6" s="141"/>
    </row>
    <row r="7" spans="1:32">
      <c r="A7" s="126">
        <v>2011</v>
      </c>
      <c r="B7" s="127" t="s">
        <v>167</v>
      </c>
      <c r="C7" s="128" t="s">
        <v>159</v>
      </c>
      <c r="D7" s="129" t="s">
        <v>168</v>
      </c>
      <c r="E7" s="130">
        <v>180</v>
      </c>
      <c r="F7" s="131" t="s">
        <v>169</v>
      </c>
      <c r="H7" s="110">
        <v>12</v>
      </c>
      <c r="I7" s="110" t="s">
        <v>161</v>
      </c>
      <c r="L7" s="142">
        <v>2011</v>
      </c>
      <c r="M7" s="143">
        <f t="shared" ref="M7:R10" si="0">SUMIFS($E$6:$E$46,$A$6:$A$46,$L7,$C$6:$C$46,M$6)</f>
        <v>30000</v>
      </c>
      <c r="N7" s="143">
        <f t="shared" si="0"/>
        <v>0</v>
      </c>
      <c r="O7" s="254">
        <f t="shared" si="0"/>
        <v>10310</v>
      </c>
      <c r="P7" s="143">
        <f t="shared" si="0"/>
        <v>0</v>
      </c>
      <c r="Q7" s="143">
        <f t="shared" si="0"/>
        <v>0</v>
      </c>
      <c r="R7" s="143">
        <f t="shared" si="0"/>
        <v>0</v>
      </c>
      <c r="S7" s="144">
        <f>SUM(M7:R7)</f>
        <v>40310</v>
      </c>
      <c r="U7" s="145">
        <v>2012</v>
      </c>
      <c r="V7" s="146" t="s">
        <v>170</v>
      </c>
      <c r="W7" s="147" t="s">
        <v>170</v>
      </c>
      <c r="X7" s="147" t="s">
        <v>170</v>
      </c>
      <c r="Y7" s="147" t="s">
        <v>170</v>
      </c>
      <c r="Z7" s="147" t="s">
        <v>170</v>
      </c>
      <c r="AA7" s="147" t="s">
        <v>170</v>
      </c>
      <c r="AB7" s="147" t="s">
        <v>170</v>
      </c>
      <c r="AC7" s="147" t="s">
        <v>170</v>
      </c>
      <c r="AD7" s="147" t="s">
        <v>170</v>
      </c>
      <c r="AE7" s="146"/>
      <c r="AF7" s="147"/>
    </row>
    <row r="8" spans="1:32">
      <c r="A8" s="126">
        <v>2011</v>
      </c>
      <c r="B8" s="127" t="s">
        <v>171</v>
      </c>
      <c r="C8" s="128" t="s">
        <v>159</v>
      </c>
      <c r="D8" s="129" t="s">
        <v>172</v>
      </c>
      <c r="E8" s="130">
        <v>7000</v>
      </c>
      <c r="F8" s="131" t="s">
        <v>173</v>
      </c>
      <c r="H8" s="110">
        <v>13</v>
      </c>
      <c r="I8" s="110" t="s">
        <v>161</v>
      </c>
      <c r="L8" s="142">
        <v>2007</v>
      </c>
      <c r="M8" s="143">
        <f t="shared" si="0"/>
        <v>0</v>
      </c>
      <c r="N8" s="143">
        <f t="shared" si="0"/>
        <v>15500</v>
      </c>
      <c r="O8" s="254">
        <f t="shared" si="0"/>
        <v>11540</v>
      </c>
      <c r="P8" s="143">
        <f t="shared" si="0"/>
        <v>2200</v>
      </c>
      <c r="Q8" s="143">
        <f t="shared" si="0"/>
        <v>0</v>
      </c>
      <c r="R8" s="143">
        <f t="shared" si="0"/>
        <v>0</v>
      </c>
      <c r="S8" s="144">
        <f>SUM(M8:R8)</f>
        <v>29240</v>
      </c>
      <c r="U8" s="145">
        <v>2011</v>
      </c>
      <c r="V8" s="146"/>
      <c r="W8" s="147"/>
      <c r="X8" s="148"/>
      <c r="Y8" s="147"/>
      <c r="Z8" s="147"/>
      <c r="AA8" s="147"/>
      <c r="AB8" s="147"/>
      <c r="AC8" s="147"/>
      <c r="AD8" s="147" t="s">
        <v>170</v>
      </c>
      <c r="AE8" s="146" t="s">
        <v>170</v>
      </c>
      <c r="AF8" s="147" t="s">
        <v>170</v>
      </c>
    </row>
    <row r="9" spans="1:32">
      <c r="A9" s="126">
        <v>2011</v>
      </c>
      <c r="B9" s="127" t="s">
        <v>153</v>
      </c>
      <c r="C9" s="128" t="str">
        <f>$M$6</f>
        <v>A</v>
      </c>
      <c r="D9" s="129" t="s">
        <v>154</v>
      </c>
      <c r="E9" s="130">
        <v>18000</v>
      </c>
      <c r="F9" s="131" t="s">
        <v>155</v>
      </c>
      <c r="H9" s="110">
        <v>22</v>
      </c>
      <c r="I9" s="110" t="s">
        <v>159</v>
      </c>
      <c r="L9" s="142">
        <v>2005</v>
      </c>
      <c r="M9" s="143">
        <f t="shared" si="0"/>
        <v>0</v>
      </c>
      <c r="N9" s="143">
        <f t="shared" si="0"/>
        <v>0</v>
      </c>
      <c r="O9" s="254">
        <f t="shared" si="0"/>
        <v>42910</v>
      </c>
      <c r="P9" s="143">
        <f t="shared" si="0"/>
        <v>864</v>
      </c>
      <c r="Q9" s="143">
        <f t="shared" si="0"/>
        <v>1345</v>
      </c>
      <c r="R9" s="143">
        <f t="shared" si="0"/>
        <v>0</v>
      </c>
      <c r="S9" s="144">
        <f>SUM(M9:R9)</f>
        <v>45119</v>
      </c>
      <c r="U9" s="145">
        <v>2010</v>
      </c>
      <c r="V9" s="146" t="s">
        <v>170</v>
      </c>
      <c r="W9" s="147" t="s">
        <v>170</v>
      </c>
      <c r="X9" s="148"/>
      <c r="Y9" s="147" t="s">
        <v>170</v>
      </c>
      <c r="Z9" s="147" t="s">
        <v>170</v>
      </c>
      <c r="AA9" s="147" t="s">
        <v>170</v>
      </c>
      <c r="AB9" s="147" t="s">
        <v>170</v>
      </c>
      <c r="AC9" s="147" t="s">
        <v>170</v>
      </c>
      <c r="AD9" s="147" t="s">
        <v>170</v>
      </c>
      <c r="AE9" s="146"/>
      <c r="AF9" s="147"/>
    </row>
    <row r="10" spans="1:32">
      <c r="A10" s="126">
        <v>2011</v>
      </c>
      <c r="B10" s="127" t="s">
        <v>174</v>
      </c>
      <c r="C10" s="128" t="s">
        <v>159</v>
      </c>
      <c r="D10" s="129" t="s">
        <v>175</v>
      </c>
      <c r="E10" s="130">
        <v>700</v>
      </c>
      <c r="F10" s="131" t="s">
        <v>176</v>
      </c>
      <c r="H10" s="110">
        <v>23</v>
      </c>
      <c r="I10" s="110" t="s">
        <v>159</v>
      </c>
      <c r="L10" s="142">
        <v>2004</v>
      </c>
      <c r="M10" s="143">
        <f t="shared" si="0"/>
        <v>0</v>
      </c>
      <c r="N10" s="143">
        <f t="shared" si="0"/>
        <v>9000</v>
      </c>
      <c r="O10" s="254">
        <f t="shared" si="0"/>
        <v>180</v>
      </c>
      <c r="P10" s="143">
        <f t="shared" si="0"/>
        <v>0</v>
      </c>
      <c r="Q10" s="143">
        <f t="shared" si="0"/>
        <v>0</v>
      </c>
      <c r="R10" s="143">
        <f t="shared" si="0"/>
        <v>15</v>
      </c>
      <c r="S10" s="144">
        <f>SUM(M10:R10)</f>
        <v>9195</v>
      </c>
      <c r="U10" s="145">
        <v>2009</v>
      </c>
      <c r="V10" s="146" t="s">
        <v>170</v>
      </c>
      <c r="W10" s="147" t="s">
        <v>170</v>
      </c>
      <c r="X10" s="148"/>
      <c r="Y10" s="147" t="s">
        <v>170</v>
      </c>
      <c r="Z10" s="147" t="s">
        <v>170</v>
      </c>
      <c r="AA10" s="147" t="s">
        <v>170</v>
      </c>
      <c r="AB10" s="147" t="s">
        <v>170</v>
      </c>
      <c r="AC10" s="147" t="s">
        <v>170</v>
      </c>
      <c r="AD10" s="147" t="s">
        <v>170</v>
      </c>
      <c r="AE10" s="146"/>
      <c r="AF10" s="147"/>
    </row>
    <row r="11" spans="1:32">
      <c r="A11" s="126">
        <v>2011</v>
      </c>
      <c r="B11" s="127" t="s">
        <v>174</v>
      </c>
      <c r="C11" s="128" t="s">
        <v>159</v>
      </c>
      <c r="D11" s="129" t="s">
        <v>175</v>
      </c>
      <c r="E11" s="130">
        <v>180</v>
      </c>
      <c r="F11" s="131" t="s">
        <v>176</v>
      </c>
      <c r="H11" s="110">
        <v>24</v>
      </c>
      <c r="I11" s="110" t="s">
        <v>159</v>
      </c>
      <c r="U11" s="145">
        <v>2008</v>
      </c>
      <c r="V11" s="146" t="s">
        <v>170</v>
      </c>
      <c r="W11" s="147" t="s">
        <v>170</v>
      </c>
      <c r="X11" s="148"/>
      <c r="Y11" s="147" t="s">
        <v>170</v>
      </c>
      <c r="Z11" s="147" t="s">
        <v>170</v>
      </c>
      <c r="AA11" s="147" t="s">
        <v>170</v>
      </c>
      <c r="AB11" s="147" t="s">
        <v>170</v>
      </c>
      <c r="AC11" s="147" t="s">
        <v>170</v>
      </c>
      <c r="AD11" s="147" t="s">
        <v>170</v>
      </c>
      <c r="AE11" s="146"/>
      <c r="AF11" s="147"/>
    </row>
    <row r="12" spans="1:32">
      <c r="A12" s="126">
        <v>2011</v>
      </c>
      <c r="B12" s="127" t="s">
        <v>177</v>
      </c>
      <c r="C12" s="128" t="s">
        <v>159</v>
      </c>
      <c r="D12" s="129" t="s">
        <v>175</v>
      </c>
      <c r="E12" s="130">
        <v>200</v>
      </c>
      <c r="F12" s="131" t="s">
        <v>173</v>
      </c>
      <c r="H12" s="110">
        <v>25</v>
      </c>
      <c r="I12" s="110" t="s">
        <v>159</v>
      </c>
      <c r="U12" s="145">
        <v>2007</v>
      </c>
      <c r="V12" s="146" t="s">
        <v>170</v>
      </c>
      <c r="W12" s="147" t="s">
        <v>170</v>
      </c>
      <c r="X12" s="148"/>
      <c r="Y12" s="147" t="s">
        <v>170</v>
      </c>
      <c r="Z12" s="147" t="s">
        <v>170</v>
      </c>
      <c r="AA12" s="147" t="s">
        <v>170</v>
      </c>
      <c r="AB12" s="147" t="s">
        <v>170</v>
      </c>
      <c r="AC12" s="147" t="s">
        <v>170</v>
      </c>
      <c r="AD12" s="147" t="s">
        <v>170</v>
      </c>
      <c r="AE12" s="146" t="s">
        <v>170</v>
      </c>
      <c r="AF12" s="147" t="s">
        <v>170</v>
      </c>
    </row>
    <row r="13" spans="1:32">
      <c r="A13" s="126">
        <v>2011</v>
      </c>
      <c r="B13" s="127" t="s">
        <v>174</v>
      </c>
      <c r="C13" s="128" t="s">
        <v>159</v>
      </c>
      <c r="D13" s="129" t="s">
        <v>175</v>
      </c>
      <c r="E13" s="130">
        <v>500</v>
      </c>
      <c r="F13" s="131" t="s">
        <v>178</v>
      </c>
      <c r="H13" s="110">
        <v>26</v>
      </c>
      <c r="I13" s="110" t="s">
        <v>159</v>
      </c>
      <c r="U13" s="145">
        <v>2006</v>
      </c>
      <c r="V13" s="146" t="s">
        <v>170</v>
      </c>
      <c r="W13" s="147" t="s">
        <v>170</v>
      </c>
      <c r="X13" s="148"/>
      <c r="Y13" s="147" t="s">
        <v>170</v>
      </c>
      <c r="Z13" s="147" t="s">
        <v>170</v>
      </c>
      <c r="AA13" s="147" t="s">
        <v>170</v>
      </c>
      <c r="AB13" s="147" t="s">
        <v>170</v>
      </c>
      <c r="AC13" s="147" t="s">
        <v>170</v>
      </c>
      <c r="AD13" s="147" t="s">
        <v>170</v>
      </c>
      <c r="AE13" s="146"/>
      <c r="AF13" s="147"/>
    </row>
    <row r="14" spans="1:32" ht="25.5">
      <c r="A14" s="126">
        <v>2011</v>
      </c>
      <c r="B14" s="127" t="s">
        <v>179</v>
      </c>
      <c r="C14" s="128" t="s">
        <v>159</v>
      </c>
      <c r="D14" s="129" t="s">
        <v>180</v>
      </c>
      <c r="E14" s="130">
        <v>1400</v>
      </c>
      <c r="F14" s="131" t="s">
        <v>173</v>
      </c>
      <c r="H14" s="110">
        <v>27</v>
      </c>
      <c r="I14" s="110" t="s">
        <v>159</v>
      </c>
      <c r="U14" s="145">
        <v>2005</v>
      </c>
      <c r="V14" s="146" t="s">
        <v>170</v>
      </c>
      <c r="W14" s="147" t="s">
        <v>170</v>
      </c>
      <c r="X14" s="148"/>
      <c r="Y14" s="147" t="s">
        <v>170</v>
      </c>
      <c r="Z14" s="147" t="s">
        <v>170</v>
      </c>
      <c r="AA14" s="147" t="s">
        <v>170</v>
      </c>
      <c r="AB14" s="147" t="s">
        <v>170</v>
      </c>
      <c r="AC14" s="147" t="s">
        <v>170</v>
      </c>
      <c r="AD14" s="147" t="s">
        <v>170</v>
      </c>
      <c r="AE14" s="146" t="s">
        <v>170</v>
      </c>
      <c r="AF14" s="147" t="s">
        <v>170</v>
      </c>
    </row>
    <row r="15" spans="1:32">
      <c r="A15" s="126">
        <v>2011</v>
      </c>
      <c r="B15" s="127" t="s">
        <v>167</v>
      </c>
      <c r="C15" s="128" t="s">
        <v>159</v>
      </c>
      <c r="D15" s="129" t="s">
        <v>168</v>
      </c>
      <c r="E15" s="130">
        <v>150</v>
      </c>
      <c r="F15" s="131" t="s">
        <v>169</v>
      </c>
      <c r="H15" s="110">
        <v>29</v>
      </c>
      <c r="I15" s="110" t="s">
        <v>159</v>
      </c>
      <c r="U15" s="145">
        <v>2004</v>
      </c>
      <c r="V15" s="146" t="s">
        <v>170</v>
      </c>
      <c r="W15" s="147" t="s">
        <v>170</v>
      </c>
      <c r="X15" s="148"/>
      <c r="Y15" s="147" t="s">
        <v>170</v>
      </c>
      <c r="Z15" s="147" t="s">
        <v>170</v>
      </c>
      <c r="AA15" s="147"/>
      <c r="AB15" s="147" t="s">
        <v>170</v>
      </c>
      <c r="AC15" s="147" t="s">
        <v>170</v>
      </c>
      <c r="AD15" s="147" t="s">
        <v>170</v>
      </c>
      <c r="AE15" s="146"/>
      <c r="AF15" s="147" t="s">
        <v>170</v>
      </c>
    </row>
    <row r="16" spans="1:32">
      <c r="A16" s="149"/>
      <c r="B16" s="150"/>
      <c r="C16" s="151"/>
      <c r="D16" s="150"/>
      <c r="E16" s="152"/>
      <c r="F16" s="153"/>
      <c r="H16" s="110">
        <v>31</v>
      </c>
      <c r="I16" s="110" t="s">
        <v>159</v>
      </c>
      <c r="U16" s="145">
        <v>2003</v>
      </c>
      <c r="V16" s="146" t="s">
        <v>170</v>
      </c>
      <c r="W16" s="147" t="s">
        <v>170</v>
      </c>
      <c r="X16" s="148"/>
      <c r="Y16" s="147" t="s">
        <v>170</v>
      </c>
      <c r="Z16" s="147" t="s">
        <v>170</v>
      </c>
      <c r="AA16" s="147"/>
      <c r="AB16" s="147" t="s">
        <v>170</v>
      </c>
      <c r="AC16" s="147"/>
      <c r="AD16" s="147" t="s">
        <v>170</v>
      </c>
      <c r="AE16" s="146"/>
      <c r="AF16" s="147"/>
    </row>
    <row r="17" spans="1:32">
      <c r="A17" s="126">
        <v>2007</v>
      </c>
      <c r="B17" s="154" t="s">
        <v>181</v>
      </c>
      <c r="C17" s="155" t="s">
        <v>158</v>
      </c>
      <c r="D17" s="154" t="s">
        <v>182</v>
      </c>
      <c r="E17" s="156">
        <v>12000</v>
      </c>
      <c r="F17" s="157" t="s">
        <v>173</v>
      </c>
      <c r="H17" s="110">
        <v>32</v>
      </c>
      <c r="I17" s="110" t="s">
        <v>159</v>
      </c>
      <c r="U17" s="145">
        <v>2002</v>
      </c>
      <c r="V17" s="146" t="s">
        <v>170</v>
      </c>
      <c r="W17" s="147" t="s">
        <v>170</v>
      </c>
      <c r="X17" s="148"/>
      <c r="Y17" s="147" t="s">
        <v>170</v>
      </c>
      <c r="Z17" s="147" t="s">
        <v>170</v>
      </c>
      <c r="AA17" s="147" t="s">
        <v>170</v>
      </c>
      <c r="AB17" s="147" t="s">
        <v>170</v>
      </c>
      <c r="AC17" s="147"/>
      <c r="AD17" s="147" t="s">
        <v>170</v>
      </c>
      <c r="AE17" s="146"/>
      <c r="AF17" s="147"/>
    </row>
    <row r="18" spans="1:32">
      <c r="A18" s="126">
        <v>2007</v>
      </c>
      <c r="B18" s="154" t="s">
        <v>181</v>
      </c>
      <c r="C18" s="155" t="s">
        <v>158</v>
      </c>
      <c r="D18" s="154" t="s">
        <v>182</v>
      </c>
      <c r="E18" s="156">
        <v>3500</v>
      </c>
      <c r="F18" s="157" t="s">
        <v>173</v>
      </c>
      <c r="H18" s="110">
        <v>33</v>
      </c>
      <c r="I18" s="110" t="s">
        <v>157</v>
      </c>
      <c r="U18" s="145">
        <v>2001</v>
      </c>
      <c r="V18" s="146" t="s">
        <v>170</v>
      </c>
      <c r="W18" s="147" t="s">
        <v>170</v>
      </c>
      <c r="X18" s="148"/>
      <c r="Y18" s="147" t="s">
        <v>170</v>
      </c>
      <c r="Z18" s="147" t="s">
        <v>170</v>
      </c>
      <c r="AA18" s="147"/>
      <c r="AB18" s="147" t="s">
        <v>170</v>
      </c>
      <c r="AC18" s="147"/>
      <c r="AD18" s="147" t="s">
        <v>170</v>
      </c>
      <c r="AE18" s="146"/>
      <c r="AF18" s="147"/>
    </row>
    <row r="19" spans="1:32">
      <c r="A19" s="126">
        <v>2007</v>
      </c>
      <c r="B19" s="154" t="s">
        <v>183</v>
      </c>
      <c r="C19" s="155" t="s">
        <v>160</v>
      </c>
      <c r="D19" s="154" t="s">
        <v>184</v>
      </c>
      <c r="E19" s="156">
        <v>2200</v>
      </c>
      <c r="F19" s="157" t="s">
        <v>185</v>
      </c>
      <c r="H19" s="110">
        <v>34</v>
      </c>
      <c r="I19" s="110" t="s">
        <v>186</v>
      </c>
    </row>
    <row r="20" spans="1:32">
      <c r="A20" s="126">
        <v>2007</v>
      </c>
      <c r="B20" s="154" t="s">
        <v>187</v>
      </c>
      <c r="C20" s="155" t="s">
        <v>159</v>
      </c>
      <c r="D20" s="154" t="s">
        <v>188</v>
      </c>
      <c r="E20" s="156">
        <v>440</v>
      </c>
      <c r="F20" s="158" t="s">
        <v>155</v>
      </c>
      <c r="H20" s="110">
        <v>45</v>
      </c>
      <c r="I20" s="110" t="s">
        <v>38</v>
      </c>
    </row>
    <row r="21" spans="1:32">
      <c r="A21" s="126">
        <v>2007</v>
      </c>
      <c r="B21" s="159" t="s">
        <v>189</v>
      </c>
      <c r="C21" s="160" t="s">
        <v>159</v>
      </c>
      <c r="D21" s="159" t="s">
        <v>190</v>
      </c>
      <c r="E21" s="161">
        <v>1400</v>
      </c>
      <c r="F21" s="158" t="s">
        <v>173</v>
      </c>
      <c r="L21" s="162"/>
    </row>
    <row r="22" spans="1:32">
      <c r="A22" s="126">
        <v>2007</v>
      </c>
      <c r="B22" s="154" t="s">
        <v>191</v>
      </c>
      <c r="C22" s="155" t="s">
        <v>159</v>
      </c>
      <c r="D22" s="154" t="s">
        <v>192</v>
      </c>
      <c r="E22" s="156">
        <v>2000</v>
      </c>
      <c r="F22" s="157" t="s">
        <v>173</v>
      </c>
    </row>
    <row r="23" spans="1:32">
      <c r="A23" s="126">
        <v>2007</v>
      </c>
      <c r="B23" s="154" t="s">
        <v>193</v>
      </c>
      <c r="C23" s="155" t="s">
        <v>159</v>
      </c>
      <c r="D23" s="154" t="s">
        <v>194</v>
      </c>
      <c r="E23" s="156">
        <v>5400</v>
      </c>
      <c r="F23" s="157" t="s">
        <v>176</v>
      </c>
    </row>
    <row r="24" spans="1:32">
      <c r="A24" s="126">
        <v>2007</v>
      </c>
      <c r="B24" s="154" t="s">
        <v>195</v>
      </c>
      <c r="C24" s="155" t="s">
        <v>159</v>
      </c>
      <c r="D24" s="154" t="s">
        <v>196</v>
      </c>
      <c r="E24" s="156">
        <v>2300</v>
      </c>
      <c r="F24" s="157" t="s">
        <v>173</v>
      </c>
    </row>
    <row r="25" spans="1:32">
      <c r="A25" s="149"/>
      <c r="B25" s="150"/>
      <c r="C25" s="151"/>
      <c r="D25" s="150"/>
      <c r="E25" s="152"/>
      <c r="F25" s="153"/>
    </row>
    <row r="26" spans="1:32">
      <c r="A26" s="126">
        <v>2005</v>
      </c>
      <c r="B26" s="154" t="s">
        <v>191</v>
      </c>
      <c r="C26" s="155"/>
      <c r="D26" s="154" t="s">
        <v>192</v>
      </c>
      <c r="E26" s="156">
        <v>2000</v>
      </c>
      <c r="F26" s="157" t="s">
        <v>173</v>
      </c>
    </row>
    <row r="27" spans="1:32">
      <c r="A27" s="126">
        <v>2005</v>
      </c>
      <c r="B27" s="154" t="s">
        <v>187</v>
      </c>
      <c r="C27" s="155" t="s">
        <v>159</v>
      </c>
      <c r="D27" s="154" t="s">
        <v>172</v>
      </c>
      <c r="E27" s="156">
        <v>4840</v>
      </c>
      <c r="F27" s="157" t="s">
        <v>173</v>
      </c>
    </row>
    <row r="28" spans="1:32">
      <c r="A28" s="126">
        <v>2005</v>
      </c>
      <c r="B28" s="154" t="s">
        <v>193</v>
      </c>
      <c r="C28" s="155" t="s">
        <v>159</v>
      </c>
      <c r="D28" s="154" t="s">
        <v>194</v>
      </c>
      <c r="E28" s="156">
        <v>260</v>
      </c>
      <c r="F28" s="157" t="s">
        <v>176</v>
      </c>
    </row>
    <row r="29" spans="1:32">
      <c r="A29" s="126">
        <v>2005</v>
      </c>
      <c r="B29" s="154" t="s">
        <v>187</v>
      </c>
      <c r="C29" s="155" t="s">
        <v>159</v>
      </c>
      <c r="D29" s="154" t="s">
        <v>197</v>
      </c>
      <c r="E29" s="156">
        <v>300</v>
      </c>
      <c r="F29" s="157" t="s">
        <v>173</v>
      </c>
    </row>
    <row r="30" spans="1:32">
      <c r="A30" s="126">
        <v>2005</v>
      </c>
      <c r="B30" s="154" t="s">
        <v>181</v>
      </c>
      <c r="C30" s="155" t="s">
        <v>159</v>
      </c>
      <c r="D30" s="154" t="s">
        <v>182</v>
      </c>
      <c r="E30" s="156">
        <v>9000</v>
      </c>
      <c r="F30" s="157" t="s">
        <v>173</v>
      </c>
    </row>
    <row r="31" spans="1:32">
      <c r="A31" s="126">
        <v>2005</v>
      </c>
      <c r="B31" s="154" t="s">
        <v>198</v>
      </c>
      <c r="C31" s="155" t="s">
        <v>159</v>
      </c>
      <c r="D31" s="154" t="s">
        <v>199</v>
      </c>
      <c r="E31" s="156">
        <v>22000</v>
      </c>
      <c r="F31" s="157" t="s">
        <v>155</v>
      </c>
    </row>
    <row r="32" spans="1:32">
      <c r="A32" s="126">
        <v>2005</v>
      </c>
      <c r="B32" s="154" t="s">
        <v>187</v>
      </c>
      <c r="C32" s="155" t="s">
        <v>159</v>
      </c>
      <c r="D32" s="154" t="s">
        <v>188</v>
      </c>
      <c r="E32" s="156">
        <v>6000</v>
      </c>
      <c r="F32" s="158" t="s">
        <v>155</v>
      </c>
    </row>
    <row r="33" spans="1:15">
      <c r="A33" s="126">
        <v>2005</v>
      </c>
      <c r="B33" s="159" t="s">
        <v>189</v>
      </c>
      <c r="C33" s="160" t="s">
        <v>159</v>
      </c>
      <c r="D33" s="159" t="s">
        <v>190</v>
      </c>
      <c r="E33" s="161">
        <v>360</v>
      </c>
      <c r="F33" s="158" t="s">
        <v>173</v>
      </c>
    </row>
    <row r="34" spans="1:15">
      <c r="A34" s="126">
        <v>2005</v>
      </c>
      <c r="B34" s="154" t="s">
        <v>171</v>
      </c>
      <c r="C34" s="155" t="s">
        <v>159</v>
      </c>
      <c r="D34" s="154" t="s">
        <v>200</v>
      </c>
      <c r="E34" s="156">
        <v>150</v>
      </c>
      <c r="F34" s="158" t="s">
        <v>173</v>
      </c>
    </row>
    <row r="35" spans="1:15">
      <c r="A35" s="126">
        <v>2005</v>
      </c>
      <c r="B35" s="154" t="s">
        <v>183</v>
      </c>
      <c r="C35" s="155" t="s">
        <v>160</v>
      </c>
      <c r="D35" s="154" t="s">
        <v>184</v>
      </c>
      <c r="E35" s="156">
        <v>864</v>
      </c>
      <c r="F35" s="157" t="s">
        <v>185</v>
      </c>
    </row>
    <row r="36" spans="1:15">
      <c r="A36" s="126">
        <v>2005</v>
      </c>
      <c r="B36" s="154" t="s">
        <v>201</v>
      </c>
      <c r="C36" s="155" t="s">
        <v>161</v>
      </c>
      <c r="D36" s="154" t="s">
        <v>202</v>
      </c>
      <c r="E36" s="156">
        <v>865</v>
      </c>
      <c r="F36" s="158" t="s">
        <v>169</v>
      </c>
    </row>
    <row r="37" spans="1:15">
      <c r="A37" s="126">
        <v>2005</v>
      </c>
      <c r="B37" s="154" t="s">
        <v>203</v>
      </c>
      <c r="C37" s="155" t="s">
        <v>161</v>
      </c>
      <c r="D37" s="154" t="s">
        <v>204</v>
      </c>
      <c r="E37" s="156">
        <v>480</v>
      </c>
      <c r="F37" s="157" t="s">
        <v>205</v>
      </c>
    </row>
    <row r="38" spans="1:15">
      <c r="A38" s="149"/>
      <c r="B38" s="150"/>
      <c r="C38" s="151"/>
      <c r="D38" s="150"/>
      <c r="E38" s="152"/>
      <c r="F38" s="153"/>
    </row>
    <row r="39" spans="1:15">
      <c r="A39" s="126">
        <v>2004</v>
      </c>
      <c r="B39" s="154" t="s">
        <v>206</v>
      </c>
      <c r="C39" s="155" t="s">
        <v>159</v>
      </c>
      <c r="D39" s="154" t="s">
        <v>207</v>
      </c>
      <c r="E39" s="130"/>
      <c r="F39" s="157" t="s">
        <v>173</v>
      </c>
    </row>
    <row r="40" spans="1:15">
      <c r="A40" s="126">
        <v>2004</v>
      </c>
      <c r="B40" s="154" t="s">
        <v>191</v>
      </c>
      <c r="C40" s="155" t="s">
        <v>159</v>
      </c>
      <c r="D40" s="154" t="s">
        <v>192</v>
      </c>
      <c r="E40" s="156"/>
      <c r="F40" s="157" t="s">
        <v>173</v>
      </c>
    </row>
    <row r="41" spans="1:15">
      <c r="A41" s="126">
        <v>2004</v>
      </c>
      <c r="B41" s="154" t="s">
        <v>187</v>
      </c>
      <c r="C41" s="155" t="s">
        <v>159</v>
      </c>
      <c r="D41" s="154" t="s">
        <v>172</v>
      </c>
      <c r="E41" s="156"/>
      <c r="F41" s="157" t="s">
        <v>173</v>
      </c>
    </row>
    <row r="42" spans="1:15">
      <c r="A42" s="126">
        <v>2004</v>
      </c>
      <c r="B42" s="154" t="s">
        <v>187</v>
      </c>
      <c r="C42" s="155" t="s">
        <v>159</v>
      </c>
      <c r="D42" s="154" t="s">
        <v>197</v>
      </c>
      <c r="E42" s="156">
        <v>120</v>
      </c>
      <c r="F42" s="157" t="s">
        <v>173</v>
      </c>
    </row>
    <row r="43" spans="1:15">
      <c r="A43" s="126">
        <v>2004</v>
      </c>
      <c r="B43" s="154" t="s">
        <v>208</v>
      </c>
      <c r="C43" s="155" t="s">
        <v>159</v>
      </c>
      <c r="D43" s="154" t="s">
        <v>207</v>
      </c>
      <c r="E43" s="156">
        <v>60</v>
      </c>
      <c r="F43" s="157" t="s">
        <v>173</v>
      </c>
    </row>
    <row r="44" spans="1:15">
      <c r="A44" s="126">
        <v>2004</v>
      </c>
      <c r="B44" s="154" t="s">
        <v>181</v>
      </c>
      <c r="C44" s="155" t="s">
        <v>158</v>
      </c>
      <c r="D44" s="154" t="s">
        <v>182</v>
      </c>
      <c r="E44" s="156">
        <v>9000</v>
      </c>
      <c r="F44" s="157" t="s">
        <v>173</v>
      </c>
    </row>
    <row r="45" spans="1:15">
      <c r="A45" s="126">
        <v>2004</v>
      </c>
      <c r="B45" s="154" t="s">
        <v>198</v>
      </c>
      <c r="C45" s="155" t="s">
        <v>159</v>
      </c>
      <c r="D45" s="154" t="s">
        <v>199</v>
      </c>
      <c r="E45" s="156"/>
      <c r="F45" s="157" t="s">
        <v>155</v>
      </c>
    </row>
    <row r="46" spans="1:15">
      <c r="A46" s="126">
        <v>2004</v>
      </c>
      <c r="B46" s="154"/>
      <c r="C46" s="155" t="s">
        <v>162</v>
      </c>
      <c r="D46" s="154" t="s">
        <v>209</v>
      </c>
      <c r="E46" s="156">
        <v>15</v>
      </c>
      <c r="F46" s="157"/>
    </row>
    <row r="48" spans="1:15" s="116" customFormat="1" ht="15">
      <c r="A48" s="115" t="s">
        <v>152</v>
      </c>
      <c r="O48" s="252"/>
    </row>
    <row r="49" spans="1:24" s="168" customFormat="1" ht="51">
      <c r="A49" s="163"/>
      <c r="B49" s="164"/>
      <c r="C49" s="164"/>
      <c r="D49" s="165"/>
      <c r="E49" s="166" t="s">
        <v>210</v>
      </c>
      <c r="F49" s="167" t="s">
        <v>211</v>
      </c>
      <c r="G49" s="167" t="s">
        <v>148</v>
      </c>
      <c r="K49" s="169"/>
      <c r="L49" s="121" t="s">
        <v>212</v>
      </c>
      <c r="M49" s="122" t="s">
        <v>74</v>
      </c>
      <c r="N49" s="169"/>
      <c r="O49" s="255"/>
      <c r="P49" s="169"/>
      <c r="Q49" s="169"/>
      <c r="R49" s="169"/>
      <c r="S49" s="169"/>
      <c r="T49" s="169"/>
      <c r="U49" s="169"/>
      <c r="V49" s="169"/>
      <c r="W49" s="169"/>
      <c r="X49" s="169"/>
    </row>
    <row r="50" spans="1:24" s="169" customFormat="1">
      <c r="A50" s="170">
        <v>2011</v>
      </c>
      <c r="B50" s="171" t="s">
        <v>213</v>
      </c>
      <c r="C50" s="171" t="s">
        <v>159</v>
      </c>
      <c r="D50" s="172" t="s">
        <v>214</v>
      </c>
      <c r="E50" s="173">
        <v>126</v>
      </c>
      <c r="F50" s="174"/>
      <c r="G50" s="174" t="s">
        <v>173</v>
      </c>
      <c r="I50" s="120" t="s">
        <v>149</v>
      </c>
      <c r="J50" s="110"/>
      <c r="K50" s="168"/>
      <c r="L50" s="175" t="s">
        <v>141</v>
      </c>
      <c r="M50" s="176" t="s">
        <v>159</v>
      </c>
      <c r="N50" s="112" t="s">
        <v>161</v>
      </c>
      <c r="O50" s="253" t="s">
        <v>215</v>
      </c>
      <c r="P50" s="112" t="s">
        <v>159</v>
      </c>
      <c r="Q50" s="112" t="s">
        <v>216</v>
      </c>
      <c r="R50" s="112" t="s">
        <v>158</v>
      </c>
      <c r="S50" s="112" t="s">
        <v>217</v>
      </c>
      <c r="T50" s="112" t="s">
        <v>218</v>
      </c>
      <c r="U50" s="112" t="s">
        <v>219</v>
      </c>
      <c r="V50" s="112" t="s">
        <v>220</v>
      </c>
      <c r="W50" s="112" t="s">
        <v>160</v>
      </c>
      <c r="X50" s="134" t="s">
        <v>113</v>
      </c>
    </row>
    <row r="51" spans="1:24" s="169" customFormat="1">
      <c r="A51" s="170">
        <v>2011</v>
      </c>
      <c r="B51" s="171" t="s">
        <v>201</v>
      </c>
      <c r="C51" s="171" t="s">
        <v>161</v>
      </c>
      <c r="D51" s="172" t="s">
        <v>221</v>
      </c>
      <c r="E51" s="173">
        <v>15</v>
      </c>
      <c r="F51" s="174"/>
      <c r="G51" s="174" t="s">
        <v>205</v>
      </c>
      <c r="I51" s="114" t="s">
        <v>156</v>
      </c>
      <c r="J51" s="114" t="s">
        <v>74</v>
      </c>
      <c r="L51" s="163">
        <v>2011</v>
      </c>
      <c r="M51" s="143">
        <f t="shared" ref="M51:W53" si="1">SUMIFS($E$50:$E$81,$A$50:$A$81,$L51,$C$50:$C$81,M$50)</f>
        <v>2526</v>
      </c>
      <c r="N51" s="143">
        <f t="shared" si="1"/>
        <v>15</v>
      </c>
      <c r="O51" s="254">
        <f t="shared" si="1"/>
        <v>184.3</v>
      </c>
      <c r="P51" s="143">
        <f t="shared" si="1"/>
        <v>2526</v>
      </c>
      <c r="Q51" s="143">
        <f t="shared" si="1"/>
        <v>60</v>
      </c>
      <c r="R51" s="143">
        <f t="shared" si="1"/>
        <v>1800</v>
      </c>
      <c r="S51" s="143">
        <f t="shared" si="1"/>
        <v>30</v>
      </c>
      <c r="T51" s="143">
        <f t="shared" si="1"/>
        <v>0</v>
      </c>
      <c r="U51" s="143">
        <f t="shared" si="1"/>
        <v>0</v>
      </c>
      <c r="V51" s="143">
        <f t="shared" si="1"/>
        <v>0</v>
      </c>
      <c r="W51" s="143">
        <f t="shared" si="1"/>
        <v>0</v>
      </c>
      <c r="X51" s="144">
        <f>SUM(M51:W51)</f>
        <v>7141.3</v>
      </c>
    </row>
    <row r="52" spans="1:24" s="169" customFormat="1" ht="25.5">
      <c r="A52" s="170">
        <v>2011</v>
      </c>
      <c r="B52" s="171" t="s">
        <v>222</v>
      </c>
      <c r="C52" s="171" t="s">
        <v>215</v>
      </c>
      <c r="D52" s="172" t="s">
        <v>223</v>
      </c>
      <c r="E52" s="173">
        <v>184.3</v>
      </c>
      <c r="F52" s="174" t="s">
        <v>224</v>
      </c>
      <c r="G52" s="174" t="s">
        <v>225</v>
      </c>
      <c r="I52" s="169">
        <v>1</v>
      </c>
      <c r="J52" s="169" t="s">
        <v>216</v>
      </c>
      <c r="L52" s="163">
        <v>2007</v>
      </c>
      <c r="M52" s="143">
        <f t="shared" si="1"/>
        <v>0</v>
      </c>
      <c r="N52" s="143">
        <f t="shared" si="1"/>
        <v>0</v>
      </c>
      <c r="O52" s="254">
        <f t="shared" si="1"/>
        <v>0</v>
      </c>
      <c r="P52" s="143">
        <f t="shared" si="1"/>
        <v>0</v>
      </c>
      <c r="Q52" s="143">
        <f t="shared" si="1"/>
        <v>190</v>
      </c>
      <c r="R52" s="143">
        <f t="shared" si="1"/>
        <v>500</v>
      </c>
      <c r="S52" s="143">
        <f t="shared" si="1"/>
        <v>0</v>
      </c>
      <c r="T52" s="143">
        <f t="shared" si="1"/>
        <v>123</v>
      </c>
      <c r="U52" s="143">
        <f t="shared" si="1"/>
        <v>80</v>
      </c>
      <c r="V52" s="143">
        <f t="shared" si="1"/>
        <v>0</v>
      </c>
      <c r="W52" s="143">
        <f t="shared" si="1"/>
        <v>0</v>
      </c>
      <c r="X52" s="144">
        <f>SUM(M52:W52)</f>
        <v>893</v>
      </c>
    </row>
    <row r="53" spans="1:24" s="169" customFormat="1">
      <c r="A53" s="170">
        <v>2011</v>
      </c>
      <c r="B53" s="171" t="s">
        <v>226</v>
      </c>
      <c r="C53" s="171" t="s">
        <v>159</v>
      </c>
      <c r="D53" s="172" t="s">
        <v>227</v>
      </c>
      <c r="E53" s="173">
        <v>500</v>
      </c>
      <c r="F53" s="174"/>
      <c r="G53" s="174" t="s">
        <v>173</v>
      </c>
      <c r="I53" s="169">
        <v>4</v>
      </c>
      <c r="J53" s="169" t="s">
        <v>228</v>
      </c>
      <c r="L53" s="163">
        <v>2005</v>
      </c>
      <c r="M53" s="143">
        <f t="shared" si="1"/>
        <v>1090</v>
      </c>
      <c r="N53" s="143">
        <f t="shared" si="1"/>
        <v>75</v>
      </c>
      <c r="O53" s="254">
        <f t="shared" si="1"/>
        <v>0</v>
      </c>
      <c r="P53" s="143">
        <f t="shared" si="1"/>
        <v>1090</v>
      </c>
      <c r="Q53" s="143">
        <f t="shared" si="1"/>
        <v>0</v>
      </c>
      <c r="R53" s="143">
        <f t="shared" si="1"/>
        <v>3290</v>
      </c>
      <c r="S53" s="143">
        <f t="shared" si="1"/>
        <v>0</v>
      </c>
      <c r="T53" s="143">
        <f t="shared" si="1"/>
        <v>40</v>
      </c>
      <c r="U53" s="143">
        <f t="shared" si="1"/>
        <v>0</v>
      </c>
      <c r="V53" s="143">
        <f t="shared" si="1"/>
        <v>17812.599999999999</v>
      </c>
      <c r="W53" s="143">
        <f t="shared" si="1"/>
        <v>400</v>
      </c>
      <c r="X53" s="144">
        <f>SUM(M53:W53)</f>
        <v>23797.599999999999</v>
      </c>
    </row>
    <row r="54" spans="1:24" s="169" customFormat="1">
      <c r="A54" s="170">
        <v>2011</v>
      </c>
      <c r="B54" s="171" t="s">
        <v>229</v>
      </c>
      <c r="C54" s="171" t="s">
        <v>159</v>
      </c>
      <c r="D54" s="172" t="s">
        <v>230</v>
      </c>
      <c r="E54" s="173">
        <v>1000</v>
      </c>
      <c r="F54" s="174"/>
      <c r="G54" s="174" t="s">
        <v>155</v>
      </c>
      <c r="I54" s="169">
        <v>8</v>
      </c>
      <c r="J54" s="169" t="s">
        <v>231</v>
      </c>
      <c r="O54" s="255"/>
    </row>
    <row r="55" spans="1:24" s="169" customFormat="1">
      <c r="A55" s="170">
        <v>2011</v>
      </c>
      <c r="B55" s="171" t="s">
        <v>229</v>
      </c>
      <c r="C55" s="171" t="s">
        <v>159</v>
      </c>
      <c r="D55" s="172" t="s">
        <v>230</v>
      </c>
      <c r="E55" s="173">
        <v>900</v>
      </c>
      <c r="F55" s="174"/>
      <c r="G55" s="174" t="s">
        <v>155</v>
      </c>
      <c r="I55" s="169">
        <v>9</v>
      </c>
      <c r="J55" s="169" t="s">
        <v>231</v>
      </c>
      <c r="O55" s="255"/>
    </row>
    <row r="56" spans="1:24" s="169" customFormat="1">
      <c r="A56" s="170">
        <v>2011</v>
      </c>
      <c r="B56" s="171" t="s">
        <v>232</v>
      </c>
      <c r="C56" s="171" t="s">
        <v>216</v>
      </c>
      <c r="D56" s="172" t="s">
        <v>233</v>
      </c>
      <c r="E56" s="173">
        <v>60</v>
      </c>
      <c r="F56" s="174" t="s">
        <v>234</v>
      </c>
      <c r="G56" s="174"/>
      <c r="I56" s="169">
        <v>10</v>
      </c>
      <c r="J56" s="169" t="s">
        <v>235</v>
      </c>
      <c r="O56" s="255"/>
    </row>
    <row r="57" spans="1:24" s="169" customFormat="1">
      <c r="A57" s="170">
        <v>2011</v>
      </c>
      <c r="B57" s="171" t="s">
        <v>181</v>
      </c>
      <c r="C57" s="171" t="s">
        <v>158</v>
      </c>
      <c r="D57" s="172" t="s">
        <v>236</v>
      </c>
      <c r="E57" s="173">
        <v>1200</v>
      </c>
      <c r="F57" s="174"/>
      <c r="G57" s="174" t="s">
        <v>173</v>
      </c>
      <c r="I57" s="177">
        <v>12</v>
      </c>
      <c r="J57" s="164" t="s">
        <v>161</v>
      </c>
      <c r="O57" s="255"/>
    </row>
    <row r="58" spans="1:24" s="169" customFormat="1">
      <c r="A58" s="170">
        <v>2011</v>
      </c>
      <c r="B58" s="171" t="s">
        <v>237</v>
      </c>
      <c r="C58" s="171" t="s">
        <v>217</v>
      </c>
      <c r="D58" s="172" t="s">
        <v>238</v>
      </c>
      <c r="E58" s="173">
        <v>20</v>
      </c>
      <c r="F58" s="174" t="s">
        <v>239</v>
      </c>
      <c r="G58" s="174"/>
      <c r="I58" s="177">
        <v>13</v>
      </c>
      <c r="J58" s="164" t="s">
        <v>161</v>
      </c>
      <c r="O58" s="255"/>
    </row>
    <row r="59" spans="1:24" s="169" customFormat="1">
      <c r="A59" s="170">
        <v>2011</v>
      </c>
      <c r="B59" s="171" t="s">
        <v>181</v>
      </c>
      <c r="C59" s="171" t="s">
        <v>158</v>
      </c>
      <c r="D59" s="172" t="s">
        <v>236</v>
      </c>
      <c r="E59" s="173">
        <v>600</v>
      </c>
      <c r="F59" s="174"/>
      <c r="G59" s="174" t="s">
        <v>173</v>
      </c>
      <c r="I59" s="177">
        <v>22</v>
      </c>
      <c r="J59" s="164" t="s">
        <v>159</v>
      </c>
      <c r="O59" s="255"/>
    </row>
    <row r="60" spans="1:24" s="169" customFormat="1">
      <c r="A60" s="170">
        <v>2011</v>
      </c>
      <c r="B60" s="171" t="s">
        <v>237</v>
      </c>
      <c r="C60" s="171" t="s">
        <v>217</v>
      </c>
      <c r="D60" s="172" t="s">
        <v>240</v>
      </c>
      <c r="E60" s="173">
        <v>10</v>
      </c>
      <c r="F60" s="174" t="s">
        <v>239</v>
      </c>
      <c r="G60" s="174"/>
      <c r="I60" s="169">
        <v>23</v>
      </c>
      <c r="J60" s="169" t="s">
        <v>159</v>
      </c>
      <c r="O60" s="255"/>
    </row>
    <row r="61" spans="1:24" s="169" customFormat="1">
      <c r="A61" s="163"/>
      <c r="B61" s="178"/>
      <c r="C61" s="178"/>
      <c r="D61" s="179"/>
      <c r="E61" s="180"/>
      <c r="F61" s="181"/>
      <c r="G61" s="181"/>
      <c r="I61" s="177">
        <v>24</v>
      </c>
      <c r="J61" s="164" t="s">
        <v>159</v>
      </c>
      <c r="O61" s="255"/>
    </row>
    <row r="62" spans="1:24" s="169" customFormat="1">
      <c r="A62" s="170">
        <v>2007</v>
      </c>
      <c r="B62" s="171" t="s">
        <v>181</v>
      </c>
      <c r="C62" s="171" t="s">
        <v>158</v>
      </c>
      <c r="D62" s="172" t="s">
        <v>182</v>
      </c>
      <c r="E62" s="182">
        <v>125</v>
      </c>
      <c r="F62" s="174"/>
      <c r="G62" s="174" t="s">
        <v>173</v>
      </c>
      <c r="I62" s="177">
        <v>25</v>
      </c>
      <c r="J62" s="164" t="s">
        <v>159</v>
      </c>
      <c r="O62" s="255"/>
    </row>
    <row r="63" spans="1:24" s="169" customFormat="1">
      <c r="A63" s="170">
        <v>2007</v>
      </c>
      <c r="B63" s="171" t="s">
        <v>181</v>
      </c>
      <c r="C63" s="171" t="s">
        <v>158</v>
      </c>
      <c r="D63" s="172" t="s">
        <v>182</v>
      </c>
      <c r="E63" s="182">
        <v>375</v>
      </c>
      <c r="F63" s="174"/>
      <c r="G63" s="174" t="s">
        <v>173</v>
      </c>
      <c r="I63" s="177">
        <v>26</v>
      </c>
      <c r="J63" s="164" t="s">
        <v>159</v>
      </c>
      <c r="O63" s="255"/>
    </row>
    <row r="64" spans="1:24" s="169" customFormat="1">
      <c r="A64" s="170">
        <v>2007</v>
      </c>
      <c r="B64" s="171" t="s">
        <v>241</v>
      </c>
      <c r="C64" s="171" t="s">
        <v>218</v>
      </c>
      <c r="D64" s="172" t="s">
        <v>242</v>
      </c>
      <c r="E64" s="173">
        <v>123</v>
      </c>
      <c r="F64" s="174"/>
      <c r="G64" s="174" t="s">
        <v>173</v>
      </c>
      <c r="I64" s="177">
        <v>29</v>
      </c>
      <c r="J64" s="164" t="s">
        <v>159</v>
      </c>
      <c r="O64" s="255"/>
    </row>
    <row r="65" spans="1:15" s="169" customFormat="1">
      <c r="A65" s="170">
        <v>2007</v>
      </c>
      <c r="B65" s="171" t="s">
        <v>243</v>
      </c>
      <c r="C65" s="171" t="s">
        <v>216</v>
      </c>
      <c r="D65" s="183" t="s">
        <v>244</v>
      </c>
      <c r="E65" s="173">
        <v>190</v>
      </c>
      <c r="F65" s="174"/>
      <c r="G65" s="174" t="s">
        <v>234</v>
      </c>
      <c r="I65" s="177">
        <v>31</v>
      </c>
      <c r="J65" s="164" t="s">
        <v>159</v>
      </c>
      <c r="O65" s="255"/>
    </row>
    <row r="66" spans="1:15" s="169" customFormat="1">
      <c r="A66" s="170">
        <v>2007</v>
      </c>
      <c r="B66" s="171" t="s">
        <v>245</v>
      </c>
      <c r="C66" s="171" t="s">
        <v>219</v>
      </c>
      <c r="D66" s="183" t="s">
        <v>246</v>
      </c>
      <c r="E66" s="173">
        <v>40</v>
      </c>
      <c r="F66" s="174" t="s">
        <v>239</v>
      </c>
      <c r="G66" s="174"/>
      <c r="I66" s="177">
        <v>32</v>
      </c>
      <c r="J66" s="164" t="s">
        <v>159</v>
      </c>
      <c r="O66" s="255"/>
    </row>
    <row r="67" spans="1:15" s="169" customFormat="1">
      <c r="A67" s="170">
        <v>2007</v>
      </c>
      <c r="B67" s="171" t="s">
        <v>245</v>
      </c>
      <c r="C67" s="171" t="s">
        <v>219</v>
      </c>
      <c r="D67" s="183" t="s">
        <v>246</v>
      </c>
      <c r="E67" s="182">
        <v>40</v>
      </c>
      <c r="F67" s="174" t="s">
        <v>239</v>
      </c>
      <c r="G67" s="174"/>
      <c r="I67" s="177">
        <v>34</v>
      </c>
      <c r="J67" s="164" t="s">
        <v>186</v>
      </c>
      <c r="O67" s="255"/>
    </row>
    <row r="68" spans="1:15" s="169" customFormat="1">
      <c r="A68" s="163"/>
      <c r="B68" s="184"/>
      <c r="C68" s="184"/>
      <c r="D68" s="185"/>
      <c r="E68" s="186"/>
      <c r="F68" s="187"/>
      <c r="G68" s="187"/>
      <c r="I68" s="169">
        <v>35</v>
      </c>
      <c r="J68" s="169" t="s">
        <v>247</v>
      </c>
      <c r="O68" s="255"/>
    </row>
    <row r="69" spans="1:15" s="169" customFormat="1">
      <c r="A69" s="170">
        <v>2005</v>
      </c>
      <c r="B69" s="171" t="s">
        <v>206</v>
      </c>
      <c r="C69" s="171" t="s">
        <v>159</v>
      </c>
      <c r="D69" s="172" t="s">
        <v>248</v>
      </c>
      <c r="E69" s="173">
        <v>340</v>
      </c>
      <c r="F69" s="174"/>
      <c r="G69" s="174" t="s">
        <v>173</v>
      </c>
      <c r="I69" s="169">
        <v>42</v>
      </c>
      <c r="J69" s="169" t="s">
        <v>219</v>
      </c>
      <c r="O69" s="255"/>
    </row>
    <row r="70" spans="1:15" s="169" customFormat="1">
      <c r="A70" s="170">
        <v>2005</v>
      </c>
      <c r="B70" s="171" t="s">
        <v>181</v>
      </c>
      <c r="C70" s="171" t="s">
        <v>158</v>
      </c>
      <c r="D70" s="172" t="s">
        <v>182</v>
      </c>
      <c r="E70" s="182">
        <v>80</v>
      </c>
      <c r="F70" s="174"/>
      <c r="G70" s="174" t="s">
        <v>173</v>
      </c>
      <c r="I70" s="177">
        <v>45</v>
      </c>
      <c r="J70" s="164" t="s">
        <v>38</v>
      </c>
      <c r="O70" s="255"/>
    </row>
    <row r="71" spans="1:15" s="169" customFormat="1">
      <c r="A71" s="170">
        <v>2005</v>
      </c>
      <c r="B71" s="171" t="s">
        <v>181</v>
      </c>
      <c r="C71" s="171" t="s">
        <v>158</v>
      </c>
      <c r="D71" s="172" t="s">
        <v>182</v>
      </c>
      <c r="E71" s="182">
        <v>3000</v>
      </c>
      <c r="F71" s="174"/>
      <c r="G71" s="174" t="s">
        <v>173</v>
      </c>
      <c r="I71" s="169">
        <v>46</v>
      </c>
      <c r="J71" s="169" t="s">
        <v>218</v>
      </c>
      <c r="O71" s="255"/>
    </row>
    <row r="72" spans="1:15" s="169" customFormat="1">
      <c r="A72" s="170">
        <v>2005</v>
      </c>
      <c r="B72" s="171" t="s">
        <v>181</v>
      </c>
      <c r="C72" s="171" t="s">
        <v>158</v>
      </c>
      <c r="D72" s="172" t="s">
        <v>182</v>
      </c>
      <c r="E72" s="182">
        <v>210</v>
      </c>
      <c r="F72" s="174"/>
      <c r="G72" s="174" t="s">
        <v>173</v>
      </c>
      <c r="O72" s="255"/>
    </row>
    <row r="73" spans="1:15" s="169" customFormat="1">
      <c r="A73" s="170">
        <v>2005</v>
      </c>
      <c r="B73" s="171" t="s">
        <v>241</v>
      </c>
      <c r="C73" s="171" t="s">
        <v>218</v>
      </c>
      <c r="D73" s="172" t="s">
        <v>242</v>
      </c>
      <c r="E73" s="173">
        <v>40</v>
      </c>
      <c r="F73" s="174"/>
      <c r="G73" s="174" t="s">
        <v>173</v>
      </c>
      <c r="O73" s="255"/>
    </row>
    <row r="74" spans="1:15" s="169" customFormat="1">
      <c r="A74" s="170">
        <v>2005</v>
      </c>
      <c r="B74" s="171" t="s">
        <v>187</v>
      </c>
      <c r="C74" s="171" t="s">
        <v>159</v>
      </c>
      <c r="D74" s="172" t="s">
        <v>249</v>
      </c>
      <c r="E74" s="182">
        <v>750</v>
      </c>
      <c r="F74" s="174"/>
      <c r="G74" s="174" t="s">
        <v>173</v>
      </c>
      <c r="O74" s="255"/>
    </row>
    <row r="75" spans="1:15" s="169" customFormat="1">
      <c r="A75" s="170">
        <v>2005</v>
      </c>
      <c r="B75" s="171" t="s">
        <v>250</v>
      </c>
      <c r="C75" s="171" t="s">
        <v>220</v>
      </c>
      <c r="D75" s="183" t="s">
        <v>251</v>
      </c>
      <c r="E75" s="182">
        <v>17802</v>
      </c>
      <c r="F75" s="174" t="s">
        <v>252</v>
      </c>
      <c r="G75" s="174"/>
      <c r="O75" s="255"/>
    </row>
    <row r="76" spans="1:15" s="169" customFormat="1">
      <c r="A76" s="170">
        <v>2005</v>
      </c>
      <c r="B76" s="171" t="s">
        <v>250</v>
      </c>
      <c r="C76" s="171" t="s">
        <v>220</v>
      </c>
      <c r="D76" s="183" t="s">
        <v>251</v>
      </c>
      <c r="E76" s="173">
        <v>5</v>
      </c>
      <c r="F76" s="174" t="s">
        <v>252</v>
      </c>
      <c r="G76" s="174"/>
      <c r="O76" s="255"/>
    </row>
    <row r="77" spans="1:15" s="169" customFormat="1">
      <c r="A77" s="170">
        <v>2005</v>
      </c>
      <c r="B77" s="171" t="s">
        <v>250</v>
      </c>
      <c r="C77" s="171" t="s">
        <v>220</v>
      </c>
      <c r="D77" s="183" t="s">
        <v>251</v>
      </c>
      <c r="E77" s="173">
        <v>5.6</v>
      </c>
      <c r="F77" s="174" t="s">
        <v>252</v>
      </c>
      <c r="G77" s="174"/>
      <c r="O77" s="255"/>
    </row>
    <row r="78" spans="1:15" s="169" customFormat="1">
      <c r="A78" s="170">
        <v>2005</v>
      </c>
      <c r="B78" s="171" t="s">
        <v>183</v>
      </c>
      <c r="C78" s="171" t="s">
        <v>160</v>
      </c>
      <c r="D78" s="172" t="s">
        <v>184</v>
      </c>
      <c r="E78" s="173">
        <v>100</v>
      </c>
      <c r="F78" s="174"/>
      <c r="G78" s="174" t="s">
        <v>185</v>
      </c>
      <c r="O78" s="255"/>
    </row>
    <row r="79" spans="1:15" s="169" customFormat="1">
      <c r="A79" s="170">
        <v>2005</v>
      </c>
      <c r="B79" s="171" t="s">
        <v>183</v>
      </c>
      <c r="C79" s="171" t="s">
        <v>160</v>
      </c>
      <c r="D79" s="172" t="s">
        <v>184</v>
      </c>
      <c r="E79" s="173">
        <v>200</v>
      </c>
      <c r="F79" s="174"/>
      <c r="G79" s="174" t="s">
        <v>185</v>
      </c>
      <c r="O79" s="255"/>
    </row>
    <row r="80" spans="1:15" s="169" customFormat="1">
      <c r="A80" s="170">
        <v>2005</v>
      </c>
      <c r="B80" s="171" t="s">
        <v>183</v>
      </c>
      <c r="C80" s="171" t="s">
        <v>160</v>
      </c>
      <c r="D80" s="172" t="s">
        <v>184</v>
      </c>
      <c r="E80" s="173">
        <v>100</v>
      </c>
      <c r="F80" s="174"/>
      <c r="G80" s="174" t="s">
        <v>185</v>
      </c>
      <c r="O80" s="255"/>
    </row>
    <row r="81" spans="1:27" s="169" customFormat="1">
      <c r="A81" s="170">
        <v>2005</v>
      </c>
      <c r="B81" s="171" t="s">
        <v>201</v>
      </c>
      <c r="C81" s="171" t="s">
        <v>161</v>
      </c>
      <c r="D81" s="172" t="s">
        <v>253</v>
      </c>
      <c r="E81" s="173">
        <v>75</v>
      </c>
      <c r="F81" s="174"/>
      <c r="G81" s="174" t="s">
        <v>254</v>
      </c>
      <c r="O81" s="255"/>
    </row>
    <row r="82" spans="1:27" s="169" customFormat="1">
      <c r="A82" s="163"/>
      <c r="B82" s="164"/>
      <c r="C82" s="164"/>
      <c r="D82" s="165"/>
      <c r="E82" s="188"/>
      <c r="O82" s="255"/>
    </row>
    <row r="83" spans="1:27" s="116" customFormat="1" ht="15">
      <c r="A83" s="115" t="s">
        <v>87</v>
      </c>
      <c r="O83" s="252"/>
    </row>
    <row r="84" spans="1:27" ht="15.75">
      <c r="A84" s="189" t="s">
        <v>255</v>
      </c>
    </row>
    <row r="85" spans="1:27" ht="12.75" customHeight="1">
      <c r="E85" s="190" t="s">
        <v>72</v>
      </c>
      <c r="F85" s="190" t="s">
        <v>107</v>
      </c>
      <c r="G85" s="190" t="s">
        <v>73</v>
      </c>
      <c r="H85" s="190" t="s">
        <v>163</v>
      </c>
      <c r="I85" s="190" t="s">
        <v>108</v>
      </c>
      <c r="J85" s="190" t="s">
        <v>164</v>
      </c>
      <c r="K85" s="190" t="s">
        <v>165</v>
      </c>
      <c r="L85" s="191" t="s">
        <v>110</v>
      </c>
      <c r="N85" s="752" t="s">
        <v>256</v>
      </c>
      <c r="O85" s="753"/>
      <c r="P85" s="192">
        <v>2000</v>
      </c>
      <c r="Q85" s="192">
        <v>2001</v>
      </c>
      <c r="R85" s="192">
        <v>2002</v>
      </c>
      <c r="S85" s="192">
        <v>2003</v>
      </c>
      <c r="T85" s="192">
        <v>2004</v>
      </c>
      <c r="U85" s="192">
        <v>2005</v>
      </c>
      <c r="V85" s="192">
        <v>2006</v>
      </c>
      <c r="W85" s="192">
        <v>2007</v>
      </c>
      <c r="X85" s="192">
        <v>2008</v>
      </c>
      <c r="Y85" s="192">
        <v>2009</v>
      </c>
      <c r="Z85" s="192">
        <v>2010</v>
      </c>
      <c r="AA85" s="192">
        <v>2011</v>
      </c>
    </row>
    <row r="86" spans="1:27">
      <c r="A86" s="193">
        <v>2010</v>
      </c>
      <c r="B86" s="170" t="s">
        <v>243</v>
      </c>
      <c r="C86" s="153"/>
      <c r="D86" s="194" t="s">
        <v>257</v>
      </c>
      <c r="E86" s="161">
        <v>93</v>
      </c>
      <c r="F86" s="195">
        <v>16110</v>
      </c>
      <c r="G86" s="195"/>
      <c r="H86" s="196">
        <v>15316.24</v>
      </c>
      <c r="I86" s="196">
        <v>15478.56</v>
      </c>
      <c r="J86" s="196">
        <v>393.92</v>
      </c>
      <c r="K86" s="197">
        <v>9580</v>
      </c>
      <c r="L86" s="196">
        <v>5</v>
      </c>
      <c r="N86" s="198" t="s">
        <v>243</v>
      </c>
      <c r="O86" s="256" t="s">
        <v>257</v>
      </c>
      <c r="P86" s="199"/>
      <c r="Q86" s="200"/>
      <c r="R86" s="201"/>
      <c r="S86" s="201"/>
      <c r="T86" s="202"/>
      <c r="U86" s="203"/>
      <c r="V86" s="203"/>
      <c r="W86" s="199"/>
      <c r="X86" s="199"/>
      <c r="Y86" s="204">
        <v>49220</v>
      </c>
      <c r="Z86" s="204">
        <v>56977</v>
      </c>
      <c r="AA86" s="205">
        <v>62089.21</v>
      </c>
    </row>
    <row r="87" spans="1:27">
      <c r="A87" s="193">
        <v>2010</v>
      </c>
      <c r="B87" s="170" t="s">
        <v>258</v>
      </c>
      <c r="C87" s="153"/>
      <c r="D87" s="194" t="s">
        <v>259</v>
      </c>
      <c r="E87" s="161">
        <v>0</v>
      </c>
      <c r="F87" s="195">
        <v>271</v>
      </c>
      <c r="G87" s="195"/>
      <c r="H87" s="196">
        <v>188.7</v>
      </c>
      <c r="I87" s="196">
        <v>4.7</v>
      </c>
      <c r="J87" s="196">
        <v>0</v>
      </c>
      <c r="K87" s="197">
        <v>500</v>
      </c>
      <c r="L87" s="196"/>
      <c r="N87" s="198" t="s">
        <v>258</v>
      </c>
      <c r="O87" s="256" t="s">
        <v>259</v>
      </c>
      <c r="P87" s="199"/>
      <c r="Q87" s="199"/>
      <c r="R87" s="199"/>
      <c r="S87" s="199"/>
      <c r="T87" s="199"/>
      <c r="U87" s="199"/>
      <c r="V87" s="203"/>
      <c r="W87" s="199"/>
      <c r="X87" s="199"/>
      <c r="Y87" s="204">
        <v>1887</v>
      </c>
      <c r="Z87" s="204">
        <v>964</v>
      </c>
      <c r="AA87" s="206">
        <v>837</v>
      </c>
    </row>
    <row r="88" spans="1:27">
      <c r="A88" s="193">
        <v>2010</v>
      </c>
      <c r="B88" s="170" t="s">
        <v>260</v>
      </c>
      <c r="C88" s="153"/>
      <c r="D88" s="194" t="s">
        <v>261</v>
      </c>
      <c r="E88" s="161">
        <v>0</v>
      </c>
      <c r="F88" s="195">
        <v>94</v>
      </c>
      <c r="G88" s="195"/>
      <c r="H88" s="196">
        <v>1309.953</v>
      </c>
      <c r="I88" s="196">
        <v>256.43</v>
      </c>
      <c r="J88" s="196">
        <v>0</v>
      </c>
      <c r="K88" s="197">
        <v>810</v>
      </c>
      <c r="L88" s="196"/>
      <c r="N88" s="198" t="s">
        <v>260</v>
      </c>
      <c r="O88" s="256" t="s">
        <v>261</v>
      </c>
      <c r="P88" s="199"/>
      <c r="Q88" s="199"/>
      <c r="R88" s="199"/>
      <c r="S88" s="199"/>
      <c r="T88" s="199"/>
      <c r="U88" s="199"/>
      <c r="V88" s="203"/>
      <c r="W88" s="199"/>
      <c r="X88" s="199"/>
      <c r="Y88" s="204">
        <v>1085</v>
      </c>
      <c r="Z88" s="204">
        <v>2470</v>
      </c>
      <c r="AA88" s="206">
        <v>2938</v>
      </c>
    </row>
    <row r="89" spans="1:27">
      <c r="A89" s="193">
        <v>2010</v>
      </c>
      <c r="B89" s="170" t="s">
        <v>262</v>
      </c>
      <c r="C89" s="153"/>
      <c r="D89" s="194" t="s">
        <v>263</v>
      </c>
      <c r="E89" s="161">
        <v>1</v>
      </c>
      <c r="F89" s="195">
        <v>332</v>
      </c>
      <c r="G89" s="195"/>
      <c r="H89" s="196">
        <v>2004.1</v>
      </c>
      <c r="I89" s="196">
        <v>118.33</v>
      </c>
      <c r="J89" s="196">
        <v>0</v>
      </c>
      <c r="K89" s="197">
        <v>286</v>
      </c>
      <c r="L89" s="196">
        <v>12</v>
      </c>
      <c r="N89" s="198" t="s">
        <v>262</v>
      </c>
      <c r="O89" s="256" t="s">
        <v>263</v>
      </c>
      <c r="P89" s="200"/>
      <c r="Q89" s="200"/>
      <c r="R89" s="201"/>
      <c r="S89" s="201"/>
      <c r="T89" s="201"/>
      <c r="U89" s="203"/>
      <c r="V89" s="203"/>
      <c r="W89" s="199"/>
      <c r="X89" s="199"/>
      <c r="Y89" s="204">
        <v>4448</v>
      </c>
      <c r="Z89" s="204">
        <v>2753</v>
      </c>
      <c r="AA89" s="205">
        <v>3672.39</v>
      </c>
    </row>
    <row r="90" spans="1:27">
      <c r="A90" s="193">
        <v>2010</v>
      </c>
      <c r="B90" s="170" t="s">
        <v>264</v>
      </c>
      <c r="C90" s="153"/>
      <c r="D90" s="194" t="s">
        <v>265</v>
      </c>
      <c r="E90" s="161">
        <v>0</v>
      </c>
      <c r="F90" s="195">
        <v>121</v>
      </c>
      <c r="G90" s="195"/>
      <c r="H90" s="196">
        <v>2584.69</v>
      </c>
      <c r="I90" s="196">
        <v>234.1</v>
      </c>
      <c r="J90" s="196">
        <v>0</v>
      </c>
      <c r="K90" s="197">
        <v>2</v>
      </c>
      <c r="L90" s="196">
        <v>82</v>
      </c>
      <c r="N90" s="198" t="s">
        <v>264</v>
      </c>
      <c r="O90" s="256" t="s">
        <v>265</v>
      </c>
      <c r="P90" s="200"/>
      <c r="Q90" s="200"/>
      <c r="R90" s="201"/>
      <c r="S90" s="201"/>
      <c r="T90" s="201"/>
      <c r="U90" s="199"/>
      <c r="V90" s="203"/>
      <c r="W90" s="199"/>
      <c r="X90" s="199"/>
      <c r="Y90" s="204">
        <v>396</v>
      </c>
      <c r="Z90" s="204">
        <v>3024</v>
      </c>
      <c r="AA90" s="206">
        <v>1113.7</v>
      </c>
    </row>
    <row r="91" spans="1:27">
      <c r="A91" s="193">
        <v>2010</v>
      </c>
      <c r="B91" s="170" t="s">
        <v>266</v>
      </c>
      <c r="C91" s="153"/>
      <c r="D91" s="194" t="s">
        <v>267</v>
      </c>
      <c r="E91" s="161">
        <v>0</v>
      </c>
      <c r="F91" s="195">
        <v>760</v>
      </c>
      <c r="G91" s="195"/>
      <c r="H91" s="196">
        <v>0</v>
      </c>
      <c r="I91" s="196">
        <v>12.98</v>
      </c>
      <c r="J91" s="196">
        <v>0</v>
      </c>
      <c r="K91" s="197">
        <v>1359</v>
      </c>
      <c r="L91" s="196">
        <v>41</v>
      </c>
      <c r="N91" s="198" t="s">
        <v>266</v>
      </c>
      <c r="O91" s="256" t="s">
        <v>267</v>
      </c>
      <c r="P91" s="200"/>
      <c r="Q91" s="200"/>
      <c r="R91" s="201"/>
      <c r="S91" s="201"/>
      <c r="T91" s="201"/>
      <c r="U91" s="199"/>
      <c r="V91" s="203"/>
      <c r="W91" s="199"/>
      <c r="X91" s="199"/>
      <c r="Y91" s="204">
        <v>1409</v>
      </c>
      <c r="Z91" s="204">
        <v>2173</v>
      </c>
      <c r="AA91" s="206">
        <v>3539</v>
      </c>
    </row>
    <row r="92" spans="1:27">
      <c r="A92" s="193">
        <v>2010</v>
      </c>
      <c r="B92" s="170" t="s">
        <v>268</v>
      </c>
      <c r="C92" s="153"/>
      <c r="D92" s="194" t="s">
        <v>269</v>
      </c>
      <c r="E92" s="161">
        <v>0</v>
      </c>
      <c r="F92" s="195" t="s">
        <v>270</v>
      </c>
      <c r="G92" s="195"/>
      <c r="H92" s="196">
        <v>0</v>
      </c>
      <c r="I92" s="196">
        <v>42.47</v>
      </c>
      <c r="J92" s="196">
        <v>0</v>
      </c>
      <c r="K92" s="197">
        <v>0</v>
      </c>
      <c r="L92" s="196">
        <v>376</v>
      </c>
      <c r="N92" s="198" t="s">
        <v>268</v>
      </c>
      <c r="O92" s="256" t="s">
        <v>269</v>
      </c>
      <c r="P92" s="200"/>
      <c r="Q92" s="200"/>
      <c r="R92" s="201"/>
      <c r="S92" s="201"/>
      <c r="T92" s="201"/>
      <c r="U92" s="199"/>
      <c r="V92" s="203"/>
      <c r="W92" s="199"/>
      <c r="X92" s="199"/>
      <c r="Y92" s="204">
        <v>111</v>
      </c>
      <c r="Z92" s="204">
        <v>418</v>
      </c>
      <c r="AA92" s="206">
        <v>19</v>
      </c>
    </row>
    <row r="93" spans="1:27">
      <c r="A93" s="193">
        <v>2010</v>
      </c>
      <c r="B93" s="170" t="s">
        <v>271</v>
      </c>
      <c r="C93" s="153"/>
      <c r="D93" s="194" t="s">
        <v>272</v>
      </c>
      <c r="E93" s="161">
        <v>663</v>
      </c>
      <c r="F93" s="195">
        <v>159224</v>
      </c>
      <c r="G93" s="195"/>
      <c r="H93" s="161">
        <v>65138.51</v>
      </c>
      <c r="I93" s="161">
        <v>2405.35</v>
      </c>
      <c r="J93" s="161">
        <v>213.1</v>
      </c>
      <c r="K93" s="197">
        <v>13606</v>
      </c>
      <c r="L93" s="161">
        <v>57248</v>
      </c>
      <c r="N93" s="198" t="s">
        <v>271</v>
      </c>
      <c r="O93" s="256" t="s">
        <v>272</v>
      </c>
      <c r="P93" s="200"/>
      <c r="Q93" s="200"/>
      <c r="R93" s="201"/>
      <c r="S93" s="201"/>
      <c r="T93" s="201"/>
      <c r="U93" s="199"/>
      <c r="V93" s="203"/>
      <c r="W93" s="199"/>
      <c r="X93" s="199"/>
      <c r="Y93" s="207">
        <v>263386</v>
      </c>
      <c r="Z93" s="207">
        <v>298498</v>
      </c>
      <c r="AA93" s="206">
        <v>348804.06800000003</v>
      </c>
    </row>
    <row r="94" spans="1:27">
      <c r="A94" s="193">
        <v>2010</v>
      </c>
      <c r="B94" s="170" t="s">
        <v>273</v>
      </c>
      <c r="C94" s="153"/>
      <c r="D94" s="194" t="s">
        <v>274</v>
      </c>
      <c r="E94" s="161">
        <v>618</v>
      </c>
      <c r="F94" s="195">
        <v>117865</v>
      </c>
      <c r="G94" s="195"/>
      <c r="H94" s="161">
        <v>135022.1</v>
      </c>
      <c r="I94" s="161">
        <v>12030.82</v>
      </c>
      <c r="J94" s="161">
        <v>343.27199999999999</v>
      </c>
      <c r="K94" s="197">
        <v>93414</v>
      </c>
      <c r="L94" s="161">
        <v>29221</v>
      </c>
      <c r="N94" s="198" t="s">
        <v>273</v>
      </c>
      <c r="O94" s="256" t="s">
        <v>274</v>
      </c>
      <c r="P94" s="200"/>
      <c r="Q94" s="200"/>
      <c r="R94" s="201"/>
      <c r="S94" s="201"/>
      <c r="T94" s="201"/>
      <c r="U94" s="203"/>
      <c r="V94" s="203"/>
      <c r="W94" s="199"/>
      <c r="X94" s="199"/>
      <c r="Y94" s="207">
        <v>291984</v>
      </c>
      <c r="Z94" s="207">
        <v>388514</v>
      </c>
      <c r="AA94" s="206">
        <v>392464.53600000002</v>
      </c>
    </row>
    <row r="95" spans="1:27">
      <c r="A95" s="193">
        <v>2010</v>
      </c>
      <c r="B95" s="170" t="s">
        <v>275</v>
      </c>
      <c r="C95" s="153"/>
      <c r="D95" s="194" t="s">
        <v>276</v>
      </c>
      <c r="E95" s="161">
        <v>123</v>
      </c>
      <c r="F95" s="195">
        <v>3233</v>
      </c>
      <c r="G95" s="195"/>
      <c r="H95" s="161">
        <v>1854.7</v>
      </c>
      <c r="I95" s="161">
        <v>61.3</v>
      </c>
      <c r="J95" s="161">
        <v>30</v>
      </c>
      <c r="K95" s="197">
        <v>252</v>
      </c>
      <c r="L95" s="161">
        <v>1</v>
      </c>
      <c r="N95" s="198" t="s">
        <v>275</v>
      </c>
      <c r="O95" s="256" t="s">
        <v>276</v>
      </c>
      <c r="P95" s="200"/>
      <c r="Q95" s="200"/>
      <c r="R95" s="201"/>
      <c r="S95" s="201"/>
      <c r="T95" s="201"/>
      <c r="U95" s="203"/>
      <c r="V95" s="203"/>
      <c r="W95" s="199"/>
      <c r="X95" s="199"/>
      <c r="Y95" s="207">
        <v>5803</v>
      </c>
      <c r="Z95" s="207">
        <v>5555</v>
      </c>
      <c r="AA95" s="206">
        <v>4888.75</v>
      </c>
    </row>
    <row r="96" spans="1:27">
      <c r="A96" s="193">
        <v>2010</v>
      </c>
      <c r="B96" s="170" t="s">
        <v>277</v>
      </c>
      <c r="C96" s="153"/>
      <c r="D96" s="194" t="s">
        <v>278</v>
      </c>
      <c r="E96" s="161">
        <v>0</v>
      </c>
      <c r="F96" s="195">
        <v>99</v>
      </c>
      <c r="G96" s="195"/>
      <c r="H96" s="161">
        <v>0</v>
      </c>
      <c r="I96" s="161">
        <v>0</v>
      </c>
      <c r="J96" s="161">
        <v>0</v>
      </c>
      <c r="K96" s="197">
        <v>399</v>
      </c>
      <c r="L96" s="161"/>
      <c r="N96" s="198" t="s">
        <v>277</v>
      </c>
      <c r="O96" s="256" t="s">
        <v>278</v>
      </c>
      <c r="P96" s="200"/>
      <c r="Q96" s="200"/>
      <c r="R96" s="201"/>
      <c r="S96" s="201"/>
      <c r="T96" s="201"/>
      <c r="U96" s="203"/>
      <c r="V96" s="203"/>
      <c r="W96" s="199"/>
      <c r="X96" s="199"/>
      <c r="Y96" s="207">
        <v>444</v>
      </c>
      <c r="Z96" s="207">
        <v>498</v>
      </c>
      <c r="AA96" s="208">
        <v>2253</v>
      </c>
    </row>
    <row r="97" spans="1:27">
      <c r="A97" s="193">
        <v>2010</v>
      </c>
      <c r="B97" s="170" t="s">
        <v>201</v>
      </c>
      <c r="C97" s="153"/>
      <c r="D97" s="194" t="s">
        <v>279</v>
      </c>
      <c r="E97" s="161">
        <v>40</v>
      </c>
      <c r="F97" s="195">
        <v>16806</v>
      </c>
      <c r="G97" s="195"/>
      <c r="H97" s="161">
        <v>11293.8</v>
      </c>
      <c r="I97" s="161">
        <v>3184.76</v>
      </c>
      <c r="J97" s="161">
        <v>0.92</v>
      </c>
      <c r="K97" s="197">
        <v>20321</v>
      </c>
      <c r="L97" s="161"/>
      <c r="N97" s="198" t="s">
        <v>201</v>
      </c>
      <c r="O97" s="256" t="s">
        <v>279</v>
      </c>
      <c r="P97" s="200"/>
      <c r="Q97" s="200"/>
      <c r="R97" s="201"/>
      <c r="S97" s="201"/>
      <c r="T97" s="201"/>
      <c r="U97" s="203"/>
      <c r="V97" s="203"/>
      <c r="W97" s="199"/>
      <c r="X97" s="199"/>
      <c r="Y97" s="207">
        <v>49947</v>
      </c>
      <c r="Z97" s="207">
        <v>51646</v>
      </c>
      <c r="AA97" s="209">
        <v>50368.83</v>
      </c>
    </row>
    <row r="98" spans="1:27">
      <c r="A98" s="193">
        <v>2010</v>
      </c>
      <c r="B98" s="170" t="s">
        <v>203</v>
      </c>
      <c r="C98" s="153"/>
      <c r="D98" s="194" t="s">
        <v>280</v>
      </c>
      <c r="E98" s="161">
        <v>1</v>
      </c>
      <c r="F98" s="195">
        <v>2503</v>
      </c>
      <c r="G98" s="195"/>
      <c r="H98" s="161">
        <v>1754.4</v>
      </c>
      <c r="I98" s="161">
        <v>464.39</v>
      </c>
      <c r="J98" s="161">
        <v>0</v>
      </c>
      <c r="K98" s="197">
        <v>3736</v>
      </c>
      <c r="L98" s="161">
        <v>328</v>
      </c>
      <c r="N98" s="198" t="s">
        <v>203</v>
      </c>
      <c r="O98" s="256" t="s">
        <v>280</v>
      </c>
      <c r="P98" s="200"/>
      <c r="Q98" s="200"/>
      <c r="R98" s="201"/>
      <c r="S98" s="201"/>
      <c r="T98" s="201"/>
      <c r="U98" s="203"/>
      <c r="V98" s="203"/>
      <c r="W98" s="199"/>
      <c r="X98" s="199"/>
      <c r="Y98" s="207">
        <v>9981</v>
      </c>
      <c r="Z98" s="207">
        <v>8787</v>
      </c>
      <c r="AA98" s="206">
        <v>8351.3700000000008</v>
      </c>
    </row>
    <row r="99" spans="1:27">
      <c r="A99" s="193">
        <v>2010</v>
      </c>
      <c r="B99" s="170" t="s">
        <v>281</v>
      </c>
      <c r="C99" s="153"/>
      <c r="D99" s="194" t="s">
        <v>282</v>
      </c>
      <c r="E99" s="161">
        <v>34</v>
      </c>
      <c r="F99" s="195">
        <v>1785</v>
      </c>
      <c r="G99" s="195"/>
      <c r="H99" s="161">
        <v>593.42999999999995</v>
      </c>
      <c r="I99" s="161">
        <v>1209.44</v>
      </c>
      <c r="J99" s="161">
        <v>0</v>
      </c>
      <c r="K99" s="197">
        <v>712</v>
      </c>
      <c r="L99" s="161">
        <v>11</v>
      </c>
      <c r="N99" s="198" t="s">
        <v>281</v>
      </c>
      <c r="O99" s="256" t="s">
        <v>282</v>
      </c>
      <c r="P99" s="200"/>
      <c r="Q99" s="200"/>
      <c r="R99" s="201"/>
      <c r="S99" s="201"/>
      <c r="T99" s="201"/>
      <c r="U99" s="203"/>
      <c r="V99" s="203"/>
      <c r="W99" s="199"/>
      <c r="X99" s="199"/>
      <c r="Y99" s="207">
        <v>3547</v>
      </c>
      <c r="Z99" s="207">
        <v>4345</v>
      </c>
      <c r="AA99" s="206">
        <v>54063.02</v>
      </c>
    </row>
    <row r="100" spans="1:27">
      <c r="A100" s="193">
        <v>2010</v>
      </c>
      <c r="B100" s="170" t="s">
        <v>283</v>
      </c>
      <c r="C100" s="153"/>
      <c r="D100" s="194" t="s">
        <v>284</v>
      </c>
      <c r="E100" s="161">
        <v>0</v>
      </c>
      <c r="F100" s="195" t="s">
        <v>270</v>
      </c>
      <c r="G100" s="195"/>
      <c r="H100" s="161">
        <v>757.9</v>
      </c>
      <c r="I100" s="161">
        <v>0</v>
      </c>
      <c r="J100" s="161">
        <v>0</v>
      </c>
      <c r="K100" s="197">
        <v>0</v>
      </c>
      <c r="L100" s="161"/>
      <c r="N100" s="198" t="s">
        <v>283</v>
      </c>
      <c r="O100" s="256" t="s">
        <v>284</v>
      </c>
      <c r="P100" s="200"/>
      <c r="Q100" s="200"/>
      <c r="R100" s="201"/>
      <c r="S100" s="201"/>
      <c r="T100" s="201"/>
      <c r="U100" s="203"/>
      <c r="V100" s="203"/>
      <c r="W100" s="199"/>
      <c r="X100" s="199"/>
      <c r="Y100" s="207">
        <v>2570</v>
      </c>
      <c r="Z100" s="207">
        <v>758</v>
      </c>
      <c r="AA100" s="206">
        <v>1213</v>
      </c>
    </row>
    <row r="101" spans="1:27">
      <c r="A101" s="193">
        <v>2010</v>
      </c>
      <c r="B101" s="170" t="s">
        <v>285</v>
      </c>
      <c r="C101" s="153"/>
      <c r="D101" s="194" t="s">
        <v>286</v>
      </c>
      <c r="E101" s="161">
        <v>47</v>
      </c>
      <c r="F101" s="195">
        <v>394</v>
      </c>
      <c r="G101" s="195"/>
      <c r="H101" s="161">
        <v>11.61</v>
      </c>
      <c r="I101" s="161">
        <v>119.14</v>
      </c>
      <c r="J101" s="161">
        <v>0</v>
      </c>
      <c r="K101" s="197">
        <v>1244</v>
      </c>
      <c r="L101" s="161">
        <v>7</v>
      </c>
      <c r="N101" s="198" t="s">
        <v>285</v>
      </c>
      <c r="O101" s="256" t="s">
        <v>286</v>
      </c>
      <c r="P101" s="200"/>
      <c r="Q101" s="200"/>
      <c r="R101" s="201"/>
      <c r="S101" s="201"/>
      <c r="T101" s="201"/>
      <c r="U101" s="203"/>
      <c r="V101" s="203"/>
      <c r="W101" s="199"/>
      <c r="X101" s="199"/>
      <c r="Y101" s="207">
        <v>3177</v>
      </c>
      <c r="Z101" s="207">
        <v>1823</v>
      </c>
      <c r="AA101" s="206">
        <v>1413.41</v>
      </c>
    </row>
    <row r="102" spans="1:27">
      <c r="A102" s="193">
        <v>2010</v>
      </c>
      <c r="B102" s="170" t="s">
        <v>287</v>
      </c>
      <c r="C102" s="153"/>
      <c r="D102" s="194" t="s">
        <v>288</v>
      </c>
      <c r="E102" s="161">
        <v>0</v>
      </c>
      <c r="F102" s="195">
        <v>38</v>
      </c>
      <c r="G102" s="195"/>
      <c r="H102" s="161">
        <v>5059.8490000000002</v>
      </c>
      <c r="I102" s="196">
        <v>235.51</v>
      </c>
      <c r="J102" s="196">
        <v>0</v>
      </c>
      <c r="K102" s="197">
        <v>0</v>
      </c>
      <c r="L102" s="196">
        <v>375</v>
      </c>
      <c r="N102" s="198" t="s">
        <v>287</v>
      </c>
      <c r="O102" s="256" t="s">
        <v>288</v>
      </c>
      <c r="P102" s="200"/>
      <c r="Q102" s="200"/>
      <c r="R102" s="201"/>
      <c r="S102" s="201"/>
      <c r="T102" s="201"/>
      <c r="U102" s="203"/>
      <c r="V102" s="203"/>
      <c r="W102" s="199"/>
      <c r="X102" s="199"/>
      <c r="Y102" s="204">
        <v>5560</v>
      </c>
      <c r="Z102" s="204">
        <v>5708</v>
      </c>
      <c r="AA102" s="206">
        <v>11745.8</v>
      </c>
    </row>
    <row r="103" spans="1:27">
      <c r="A103" s="193">
        <v>2010</v>
      </c>
      <c r="B103" s="170" t="s">
        <v>289</v>
      </c>
      <c r="C103" s="153"/>
      <c r="D103" s="194" t="s">
        <v>290</v>
      </c>
      <c r="E103" s="161">
        <v>0</v>
      </c>
      <c r="F103" s="195">
        <v>27222</v>
      </c>
      <c r="G103" s="195"/>
      <c r="H103" s="196">
        <v>125326</v>
      </c>
      <c r="I103" s="196">
        <v>62841.47</v>
      </c>
      <c r="J103" s="196">
        <v>0</v>
      </c>
      <c r="K103" s="197">
        <v>31437</v>
      </c>
      <c r="L103" s="196">
        <v>677</v>
      </c>
      <c r="N103" s="198" t="s">
        <v>289</v>
      </c>
      <c r="O103" s="256" t="s">
        <v>290</v>
      </c>
      <c r="P103" s="200"/>
      <c r="Q103" s="200"/>
      <c r="R103" s="201"/>
      <c r="S103" s="201"/>
      <c r="T103" s="201"/>
      <c r="U103" s="203"/>
      <c r="V103" s="203"/>
      <c r="W103" s="199"/>
      <c r="X103" s="199"/>
      <c r="Y103" s="204">
        <v>122597</v>
      </c>
      <c r="Z103" s="204">
        <v>247503</v>
      </c>
      <c r="AA103" s="206">
        <v>230024.8</v>
      </c>
    </row>
    <row r="104" spans="1:27" ht="12.75" customHeight="1">
      <c r="A104" s="193">
        <v>2010</v>
      </c>
      <c r="B104" s="170" t="s">
        <v>291</v>
      </c>
      <c r="C104" s="153"/>
      <c r="D104" s="194" t="s">
        <v>292</v>
      </c>
      <c r="E104" s="161">
        <v>0</v>
      </c>
      <c r="F104" s="195" t="s">
        <v>270</v>
      </c>
      <c r="G104" s="195"/>
      <c r="H104" s="196">
        <v>0</v>
      </c>
      <c r="I104" s="196">
        <v>1.71</v>
      </c>
      <c r="J104" s="196">
        <v>0</v>
      </c>
      <c r="K104" s="197">
        <v>0</v>
      </c>
      <c r="L104" s="196"/>
      <c r="N104" s="752" t="s">
        <v>293</v>
      </c>
      <c r="O104" s="753"/>
      <c r="P104" s="192">
        <v>2000</v>
      </c>
      <c r="Q104" s="192">
        <v>2001</v>
      </c>
      <c r="R104" s="192">
        <v>2002</v>
      </c>
      <c r="S104" s="192">
        <v>2003</v>
      </c>
      <c r="T104" s="192">
        <v>2004</v>
      </c>
      <c r="U104" s="192">
        <v>2005</v>
      </c>
      <c r="V104" s="192">
        <v>2006</v>
      </c>
      <c r="W104" s="192">
        <v>2007</v>
      </c>
      <c r="X104" s="192">
        <v>2008</v>
      </c>
      <c r="Y104" s="210">
        <v>2009</v>
      </c>
      <c r="Z104" s="210">
        <v>2010</v>
      </c>
      <c r="AA104" s="210">
        <v>2011</v>
      </c>
    </row>
    <row r="105" spans="1:27">
      <c r="A105" s="193">
        <v>2010</v>
      </c>
      <c r="B105" s="170" t="s">
        <v>294</v>
      </c>
      <c r="C105" s="153"/>
      <c r="D105" s="194" t="s">
        <v>295</v>
      </c>
      <c r="E105" s="161">
        <v>0</v>
      </c>
      <c r="F105" s="195">
        <v>0</v>
      </c>
      <c r="G105" s="195"/>
      <c r="H105" s="196">
        <v>20.6</v>
      </c>
      <c r="I105" s="196">
        <v>0</v>
      </c>
      <c r="J105" s="196">
        <v>0</v>
      </c>
      <c r="K105" s="197">
        <v>0</v>
      </c>
      <c r="L105" s="196"/>
      <c r="N105" s="211" t="s">
        <v>291</v>
      </c>
      <c r="O105" s="256" t="s">
        <v>292</v>
      </c>
      <c r="P105" s="199"/>
      <c r="Q105" s="199"/>
      <c r="R105" s="199"/>
      <c r="S105" s="199"/>
      <c r="T105" s="199"/>
      <c r="U105" s="199"/>
      <c r="V105" s="203"/>
      <c r="W105" s="199"/>
      <c r="X105" s="199"/>
      <c r="Y105" s="204">
        <v>70</v>
      </c>
      <c r="Z105" s="204">
        <v>2</v>
      </c>
      <c r="AA105" s="205">
        <v>41.5</v>
      </c>
    </row>
    <row r="106" spans="1:27">
      <c r="A106" s="193">
        <v>2010</v>
      </c>
      <c r="B106" s="170" t="s">
        <v>296</v>
      </c>
      <c r="C106" s="153"/>
      <c r="D106" s="194" t="s">
        <v>297</v>
      </c>
      <c r="E106" s="161">
        <v>0</v>
      </c>
      <c r="F106" s="195">
        <v>670</v>
      </c>
      <c r="G106" s="195"/>
      <c r="H106" s="196">
        <v>275.94</v>
      </c>
      <c r="I106" s="196">
        <v>97.33</v>
      </c>
      <c r="J106" s="196">
        <v>0</v>
      </c>
      <c r="K106" s="197">
        <v>1278</v>
      </c>
      <c r="L106" s="196">
        <v>117</v>
      </c>
      <c r="N106" s="211" t="s">
        <v>294</v>
      </c>
      <c r="O106" s="256" t="s">
        <v>295</v>
      </c>
      <c r="P106" s="199"/>
      <c r="Q106" s="199"/>
      <c r="R106" s="199"/>
      <c r="S106" s="199"/>
      <c r="T106" s="199"/>
      <c r="U106" s="199"/>
      <c r="V106" s="203"/>
      <c r="W106" s="199"/>
      <c r="X106" s="199"/>
      <c r="Y106" s="204">
        <v>0</v>
      </c>
      <c r="Z106" s="204">
        <v>21</v>
      </c>
      <c r="AA106" s="206">
        <v>20.637</v>
      </c>
    </row>
    <row r="107" spans="1:27">
      <c r="A107" s="193">
        <v>2010</v>
      </c>
      <c r="B107" s="170" t="s">
        <v>171</v>
      </c>
      <c r="C107" s="153"/>
      <c r="D107" s="194" t="s">
        <v>298</v>
      </c>
      <c r="E107" s="161">
        <v>0</v>
      </c>
      <c r="F107" s="195">
        <v>28</v>
      </c>
      <c r="G107" s="195"/>
      <c r="H107" s="196">
        <v>195.4</v>
      </c>
      <c r="I107" s="196">
        <v>126.53</v>
      </c>
      <c r="J107" s="196">
        <v>0</v>
      </c>
      <c r="K107" s="197">
        <v>28</v>
      </c>
      <c r="L107" s="196">
        <v>11</v>
      </c>
      <c r="N107" s="211" t="s">
        <v>296</v>
      </c>
      <c r="O107" s="256" t="s">
        <v>297</v>
      </c>
      <c r="P107" s="212"/>
      <c r="Q107" s="212"/>
      <c r="R107" s="213"/>
      <c r="S107" s="212"/>
      <c r="T107" s="212"/>
      <c r="U107" s="213"/>
      <c r="V107" s="212"/>
      <c r="W107" s="212"/>
      <c r="X107" s="213"/>
      <c r="Y107" s="214">
        <v>2756</v>
      </c>
      <c r="Z107" s="214">
        <v>2438</v>
      </c>
      <c r="AA107" s="215">
        <v>2072.6999999999998</v>
      </c>
    </row>
    <row r="108" spans="1:27">
      <c r="A108" s="193">
        <v>2010</v>
      </c>
      <c r="B108" s="170" t="s">
        <v>213</v>
      </c>
      <c r="C108" s="153"/>
      <c r="D108" s="194" t="s">
        <v>299</v>
      </c>
      <c r="E108" s="161">
        <v>0</v>
      </c>
      <c r="F108" s="161">
        <v>13052</v>
      </c>
      <c r="G108" s="161"/>
      <c r="H108" s="196">
        <v>806.27</v>
      </c>
      <c r="I108" s="196">
        <v>16883.18</v>
      </c>
      <c r="J108" s="196">
        <v>0</v>
      </c>
      <c r="K108" s="197">
        <v>10316</v>
      </c>
      <c r="L108" s="196">
        <v>24</v>
      </c>
      <c r="N108" s="211" t="s">
        <v>171</v>
      </c>
      <c r="O108" s="256" t="s">
        <v>298</v>
      </c>
      <c r="P108" s="212"/>
      <c r="Q108" s="212"/>
      <c r="R108" s="216"/>
      <c r="S108" s="212"/>
      <c r="T108" s="212"/>
      <c r="U108" s="216"/>
      <c r="V108" s="212"/>
      <c r="W108" s="212"/>
      <c r="X108" s="216"/>
      <c r="Y108" s="214">
        <v>421</v>
      </c>
      <c r="Z108" s="214">
        <v>389</v>
      </c>
      <c r="AA108" s="217">
        <v>352.9</v>
      </c>
    </row>
    <row r="109" spans="1:27">
      <c r="A109" s="193">
        <v>2010</v>
      </c>
      <c r="B109" s="170" t="s">
        <v>300</v>
      </c>
      <c r="C109" s="153"/>
      <c r="D109" s="194" t="s">
        <v>301</v>
      </c>
      <c r="E109" s="161">
        <v>0</v>
      </c>
      <c r="F109" s="195">
        <v>1</v>
      </c>
      <c r="G109" s="195"/>
      <c r="H109" s="196">
        <v>136.6</v>
      </c>
      <c r="I109" s="196">
        <v>108468.3</v>
      </c>
      <c r="J109" s="196">
        <v>0</v>
      </c>
      <c r="K109" s="197">
        <v>18</v>
      </c>
      <c r="L109" s="196">
        <v>591</v>
      </c>
      <c r="N109" s="211" t="s">
        <v>213</v>
      </c>
      <c r="O109" s="256" t="s">
        <v>299</v>
      </c>
      <c r="P109" s="212"/>
      <c r="Q109" s="212"/>
      <c r="R109" s="213"/>
      <c r="S109" s="212"/>
      <c r="T109" s="212"/>
      <c r="U109" s="213"/>
      <c r="V109" s="212"/>
      <c r="W109" s="212"/>
      <c r="X109" s="213"/>
      <c r="Y109" s="214">
        <v>28187</v>
      </c>
      <c r="Z109" s="214">
        <v>41081</v>
      </c>
      <c r="AA109" s="215">
        <v>46516.9</v>
      </c>
    </row>
    <row r="110" spans="1:27">
      <c r="A110" s="193">
        <v>2010</v>
      </c>
      <c r="B110" s="170" t="s">
        <v>206</v>
      </c>
      <c r="C110" s="153"/>
      <c r="D110" s="194" t="s">
        <v>302</v>
      </c>
      <c r="E110" s="161">
        <v>0</v>
      </c>
      <c r="F110" s="195">
        <v>380</v>
      </c>
      <c r="G110" s="195"/>
      <c r="H110" s="196">
        <v>0</v>
      </c>
      <c r="I110" s="196">
        <v>0</v>
      </c>
      <c r="J110" s="196">
        <v>0</v>
      </c>
      <c r="K110" s="197">
        <v>10</v>
      </c>
      <c r="L110" s="196"/>
      <c r="N110" s="211" t="s">
        <v>300</v>
      </c>
      <c r="O110" s="256" t="s">
        <v>301</v>
      </c>
      <c r="P110" s="212"/>
      <c r="Q110" s="212"/>
      <c r="R110" s="213"/>
      <c r="S110" s="212"/>
      <c r="T110" s="212"/>
      <c r="U110" s="213"/>
      <c r="V110" s="212"/>
      <c r="W110" s="212"/>
      <c r="X110" s="213"/>
      <c r="Y110" s="214">
        <v>11890</v>
      </c>
      <c r="Z110" s="214">
        <v>109215</v>
      </c>
      <c r="AA110" s="215">
        <v>1259.3</v>
      </c>
    </row>
    <row r="111" spans="1:27">
      <c r="A111" s="193">
        <v>2010</v>
      </c>
      <c r="B111" s="170" t="s">
        <v>189</v>
      </c>
      <c r="C111" s="153"/>
      <c r="D111" s="194" t="s">
        <v>303</v>
      </c>
      <c r="E111" s="161">
        <v>0</v>
      </c>
      <c r="F111" s="195">
        <v>35</v>
      </c>
      <c r="G111" s="195"/>
      <c r="H111" s="196">
        <v>190.22</v>
      </c>
      <c r="I111" s="196">
        <v>5.85</v>
      </c>
      <c r="J111" s="196">
        <v>0</v>
      </c>
      <c r="K111" s="197">
        <v>7</v>
      </c>
      <c r="L111" s="196"/>
      <c r="N111" s="211" t="s">
        <v>206</v>
      </c>
      <c r="O111" s="256" t="s">
        <v>302</v>
      </c>
      <c r="P111" s="212"/>
      <c r="Q111" s="212"/>
      <c r="R111" s="213"/>
      <c r="S111" s="212"/>
      <c r="T111" s="212"/>
      <c r="U111" s="213"/>
      <c r="V111" s="212"/>
      <c r="W111" s="212"/>
      <c r="X111" s="213"/>
      <c r="Y111" s="214">
        <v>361</v>
      </c>
      <c r="Z111" s="214">
        <v>390</v>
      </c>
      <c r="AA111" s="215">
        <v>12</v>
      </c>
    </row>
    <row r="112" spans="1:27">
      <c r="A112" s="193">
        <v>2010</v>
      </c>
      <c r="B112" s="170" t="s">
        <v>304</v>
      </c>
      <c r="C112" s="153"/>
      <c r="D112" s="194" t="s">
        <v>305</v>
      </c>
      <c r="E112" s="161">
        <v>0</v>
      </c>
      <c r="F112" s="195" t="s">
        <v>270</v>
      </c>
      <c r="G112" s="195"/>
      <c r="H112" s="196">
        <v>0</v>
      </c>
      <c r="I112" s="196">
        <v>0</v>
      </c>
      <c r="J112" s="196">
        <v>0</v>
      </c>
      <c r="K112" s="197">
        <v>2</v>
      </c>
      <c r="L112" s="196">
        <v>21</v>
      </c>
      <c r="N112" s="211" t="s">
        <v>189</v>
      </c>
      <c r="O112" s="256" t="s">
        <v>303</v>
      </c>
      <c r="P112" s="212"/>
      <c r="Q112" s="212"/>
      <c r="R112" s="213"/>
      <c r="S112" s="212"/>
      <c r="T112" s="212"/>
      <c r="U112" s="213"/>
      <c r="V112" s="212"/>
      <c r="W112" s="212"/>
      <c r="X112" s="213"/>
      <c r="Y112" s="214">
        <v>363</v>
      </c>
      <c r="Z112" s="214">
        <v>238</v>
      </c>
      <c r="AA112" s="215">
        <v>30.95</v>
      </c>
    </row>
    <row r="113" spans="1:27">
      <c r="A113" s="193">
        <v>2010</v>
      </c>
      <c r="B113" s="170" t="s">
        <v>306</v>
      </c>
      <c r="C113" s="153"/>
      <c r="D113" s="194" t="s">
        <v>307</v>
      </c>
      <c r="E113" s="161">
        <v>0</v>
      </c>
      <c r="F113" s="195" t="s">
        <v>270</v>
      </c>
      <c r="G113" s="195"/>
      <c r="H113" s="196">
        <v>0</v>
      </c>
      <c r="I113" s="196">
        <v>0</v>
      </c>
      <c r="J113" s="196">
        <v>0</v>
      </c>
      <c r="K113" s="197">
        <v>0</v>
      </c>
      <c r="L113" s="196"/>
      <c r="N113" s="211" t="s">
        <v>304</v>
      </c>
      <c r="O113" s="256" t="s">
        <v>305</v>
      </c>
      <c r="P113" s="212"/>
      <c r="Q113" s="212"/>
      <c r="R113" s="213"/>
      <c r="S113" s="212"/>
      <c r="T113" s="212"/>
      <c r="U113" s="213"/>
      <c r="V113" s="212"/>
      <c r="W113" s="212"/>
      <c r="X113" s="213"/>
      <c r="Y113" s="214">
        <v>37</v>
      </c>
      <c r="Z113" s="214">
        <v>23</v>
      </c>
      <c r="AA113" s="215">
        <v>18.5</v>
      </c>
    </row>
    <row r="114" spans="1:27">
      <c r="A114" s="193">
        <v>2010</v>
      </c>
      <c r="B114" s="170" t="s">
        <v>195</v>
      </c>
      <c r="C114" s="153"/>
      <c r="D114" s="194" t="s">
        <v>308</v>
      </c>
      <c r="E114" s="161">
        <v>16</v>
      </c>
      <c r="F114" s="195">
        <v>761</v>
      </c>
      <c r="G114" s="195"/>
      <c r="H114" s="161">
        <v>150.30000000000001</v>
      </c>
      <c r="I114" s="161">
        <v>74.11</v>
      </c>
      <c r="J114" s="196">
        <v>0</v>
      </c>
      <c r="K114" s="197">
        <v>78</v>
      </c>
      <c r="L114" s="161">
        <v>4</v>
      </c>
      <c r="N114" s="211" t="s">
        <v>306</v>
      </c>
      <c r="O114" s="256" t="s">
        <v>307</v>
      </c>
      <c r="P114" s="212"/>
      <c r="Q114" s="212"/>
      <c r="R114" s="213"/>
      <c r="S114" s="212"/>
      <c r="T114" s="212"/>
      <c r="U114" s="213"/>
      <c r="V114" s="212"/>
      <c r="W114" s="212"/>
      <c r="X114" s="213"/>
      <c r="Y114" s="214">
        <v>0</v>
      </c>
      <c r="Z114" s="214">
        <v>0</v>
      </c>
      <c r="AA114" s="215">
        <v>65</v>
      </c>
    </row>
    <row r="115" spans="1:27">
      <c r="A115" s="193">
        <v>2010</v>
      </c>
      <c r="B115" s="170" t="s">
        <v>309</v>
      </c>
      <c r="C115" s="153"/>
      <c r="D115" s="194" t="s">
        <v>310</v>
      </c>
      <c r="E115" s="161">
        <v>0</v>
      </c>
      <c r="F115" s="195" t="s">
        <v>270</v>
      </c>
      <c r="G115" s="195"/>
      <c r="H115" s="161">
        <v>0</v>
      </c>
      <c r="I115" s="161">
        <v>0.01</v>
      </c>
      <c r="J115" s="161">
        <v>0</v>
      </c>
      <c r="K115" s="197">
        <v>4</v>
      </c>
      <c r="L115" s="161"/>
      <c r="N115" s="211" t="s">
        <v>195</v>
      </c>
      <c r="O115" s="256" t="s">
        <v>308</v>
      </c>
      <c r="P115" s="218"/>
      <c r="Q115" s="218"/>
      <c r="R115" s="219"/>
      <c r="S115" s="218"/>
      <c r="T115" s="218"/>
      <c r="U115" s="219"/>
      <c r="V115" s="218"/>
      <c r="W115" s="218"/>
      <c r="X115" s="219"/>
      <c r="Y115" s="220">
        <v>977</v>
      </c>
      <c r="Z115" s="220">
        <v>1083</v>
      </c>
      <c r="AA115" s="221">
        <v>1587.27</v>
      </c>
    </row>
    <row r="116" spans="1:27">
      <c r="A116" s="193">
        <v>2010</v>
      </c>
      <c r="B116" s="170" t="s">
        <v>187</v>
      </c>
      <c r="C116" s="153"/>
      <c r="D116" s="194" t="s">
        <v>311</v>
      </c>
      <c r="E116" s="161">
        <v>21</v>
      </c>
      <c r="F116" s="195">
        <v>74728</v>
      </c>
      <c r="G116" s="195"/>
      <c r="H116" s="161">
        <v>4582.6000000000004</v>
      </c>
      <c r="I116" s="161">
        <v>2892.64</v>
      </c>
      <c r="J116" s="161">
        <v>7.1999999999999995E-2</v>
      </c>
      <c r="K116" s="197">
        <v>4850</v>
      </c>
      <c r="L116" s="161">
        <v>12</v>
      </c>
      <c r="N116" s="211" t="s">
        <v>309</v>
      </c>
      <c r="O116" s="256" t="s">
        <v>310</v>
      </c>
      <c r="P116" s="218"/>
      <c r="Q116" s="218"/>
      <c r="R116" s="222"/>
      <c r="S116" s="218"/>
      <c r="T116" s="218"/>
      <c r="U116" s="222"/>
      <c r="V116" s="218"/>
      <c r="W116" s="218"/>
      <c r="X116" s="222"/>
      <c r="Y116" s="220">
        <v>12</v>
      </c>
      <c r="Z116" s="220">
        <v>4</v>
      </c>
      <c r="AA116" s="223">
        <v>3</v>
      </c>
    </row>
    <row r="117" spans="1:27">
      <c r="A117" s="193">
        <v>2010</v>
      </c>
      <c r="B117" s="170" t="s">
        <v>198</v>
      </c>
      <c r="C117" s="153"/>
      <c r="D117" s="194" t="s">
        <v>312</v>
      </c>
      <c r="E117" s="161">
        <v>0</v>
      </c>
      <c r="F117" s="195">
        <v>11</v>
      </c>
      <c r="G117" s="195"/>
      <c r="H117" s="161">
        <v>1979</v>
      </c>
      <c r="I117" s="161">
        <v>0</v>
      </c>
      <c r="J117" s="161">
        <v>0</v>
      </c>
      <c r="K117" s="197">
        <v>13</v>
      </c>
      <c r="L117" s="161"/>
      <c r="N117" s="211" t="s">
        <v>187</v>
      </c>
      <c r="O117" s="256" t="s">
        <v>311</v>
      </c>
      <c r="P117" s="218"/>
      <c r="Q117" s="218"/>
      <c r="R117" s="213"/>
      <c r="S117" s="218"/>
      <c r="T117" s="218"/>
      <c r="U117" s="213"/>
      <c r="V117" s="218"/>
      <c r="W117" s="218"/>
      <c r="X117" s="213"/>
      <c r="Y117" s="220">
        <v>45920</v>
      </c>
      <c r="Z117" s="220">
        <v>87086</v>
      </c>
      <c r="AA117" s="215">
        <v>95095.22</v>
      </c>
    </row>
    <row r="118" spans="1:27">
      <c r="A118" s="193">
        <v>2010</v>
      </c>
      <c r="B118" s="170" t="s">
        <v>153</v>
      </c>
      <c r="C118" s="153"/>
      <c r="D118" s="194" t="s">
        <v>313</v>
      </c>
      <c r="E118" s="161">
        <v>0</v>
      </c>
      <c r="F118" s="195">
        <v>5</v>
      </c>
      <c r="G118" s="195"/>
      <c r="H118" s="161">
        <v>701</v>
      </c>
      <c r="I118" s="161">
        <v>13.5</v>
      </c>
      <c r="J118" s="161">
        <v>0</v>
      </c>
      <c r="K118" s="197">
        <v>18</v>
      </c>
      <c r="L118" s="161"/>
      <c r="N118" s="211" t="s">
        <v>198</v>
      </c>
      <c r="O118" s="256" t="s">
        <v>312</v>
      </c>
      <c r="P118" s="218"/>
      <c r="Q118" s="218"/>
      <c r="R118" s="213"/>
      <c r="S118" s="218"/>
      <c r="T118" s="218"/>
      <c r="U118" s="213"/>
      <c r="V118" s="218"/>
      <c r="W118" s="218"/>
      <c r="X118" s="213"/>
      <c r="Y118" s="220">
        <v>624</v>
      </c>
      <c r="Z118" s="220">
        <v>2003</v>
      </c>
      <c r="AA118" s="215">
        <v>4362.07</v>
      </c>
    </row>
    <row r="119" spans="1:27">
      <c r="A119" s="193">
        <v>2010</v>
      </c>
      <c r="B119" s="170" t="s">
        <v>314</v>
      </c>
      <c r="C119" s="153"/>
      <c r="D119" s="194" t="s">
        <v>315</v>
      </c>
      <c r="E119" s="161">
        <v>2</v>
      </c>
      <c r="F119" s="195">
        <v>31379</v>
      </c>
      <c r="G119" s="195"/>
      <c r="H119" s="161">
        <v>17647.669999999998</v>
      </c>
      <c r="I119" s="161">
        <v>4615.9399999999996</v>
      </c>
      <c r="J119" s="161">
        <v>18</v>
      </c>
      <c r="K119" s="197">
        <v>16023</v>
      </c>
      <c r="L119" s="161">
        <v>2734</v>
      </c>
      <c r="N119" s="211" t="s">
        <v>153</v>
      </c>
      <c r="O119" s="256" t="s">
        <v>313</v>
      </c>
      <c r="P119" s="218"/>
      <c r="Q119" s="218"/>
      <c r="R119" s="213"/>
      <c r="S119" s="218"/>
      <c r="T119" s="218"/>
      <c r="U119" s="213"/>
      <c r="V119" s="218"/>
      <c r="W119" s="218"/>
      <c r="X119" s="213"/>
      <c r="Y119" s="220">
        <v>68</v>
      </c>
      <c r="Z119" s="220">
        <v>738</v>
      </c>
      <c r="AA119" s="215">
        <v>977.5</v>
      </c>
    </row>
    <row r="120" spans="1:27">
      <c r="A120" s="193">
        <v>2010</v>
      </c>
      <c r="B120" s="170" t="s">
        <v>316</v>
      </c>
      <c r="C120" s="153"/>
      <c r="D120" s="194" t="s">
        <v>317</v>
      </c>
      <c r="E120" s="161">
        <v>5</v>
      </c>
      <c r="F120" s="195">
        <v>7149</v>
      </c>
      <c r="G120" s="195"/>
      <c r="H120" s="161">
        <v>29107.919999999998</v>
      </c>
      <c r="I120" s="161">
        <v>51456.45</v>
      </c>
      <c r="J120" s="161">
        <v>24.524999999999999</v>
      </c>
      <c r="K120" s="197">
        <v>9212</v>
      </c>
      <c r="L120" s="161">
        <v>34746</v>
      </c>
      <c r="N120" s="211" t="s">
        <v>314</v>
      </c>
      <c r="O120" s="256" t="s">
        <v>315</v>
      </c>
      <c r="P120" s="218"/>
      <c r="Q120" s="218"/>
      <c r="R120" s="213"/>
      <c r="S120" s="218"/>
      <c r="T120" s="218"/>
      <c r="U120" s="213"/>
      <c r="V120" s="218"/>
      <c r="W120" s="218"/>
      <c r="X120" s="213"/>
      <c r="Y120" s="220">
        <v>69382</v>
      </c>
      <c r="Z120" s="220">
        <v>72420</v>
      </c>
      <c r="AA120" s="215">
        <v>59910.8</v>
      </c>
    </row>
    <row r="121" spans="1:27">
      <c r="A121" s="193">
        <v>2010</v>
      </c>
      <c r="B121" s="170" t="s">
        <v>318</v>
      </c>
      <c r="C121" s="153"/>
      <c r="D121" s="194" t="s">
        <v>319</v>
      </c>
      <c r="E121" s="161">
        <v>170</v>
      </c>
      <c r="F121" s="195">
        <v>227936</v>
      </c>
      <c r="G121" s="195"/>
      <c r="H121" s="161">
        <v>86471.21</v>
      </c>
      <c r="I121" s="161">
        <v>13009.16</v>
      </c>
      <c r="J121" s="161">
        <v>331.64</v>
      </c>
      <c r="K121" s="197">
        <v>62042</v>
      </c>
      <c r="L121" s="161"/>
      <c r="N121" s="211" t="s">
        <v>316</v>
      </c>
      <c r="O121" s="256" t="s">
        <v>317</v>
      </c>
      <c r="P121" s="218"/>
      <c r="Q121" s="218"/>
      <c r="R121" s="213"/>
      <c r="S121" s="218"/>
      <c r="T121" s="218"/>
      <c r="U121" s="213"/>
      <c r="V121" s="218"/>
      <c r="W121" s="218"/>
      <c r="X121" s="213"/>
      <c r="Y121" s="220">
        <v>108892</v>
      </c>
      <c r="Z121" s="220">
        <v>131701</v>
      </c>
      <c r="AA121" s="215">
        <v>431992.2</v>
      </c>
    </row>
    <row r="122" spans="1:27">
      <c r="A122" s="193">
        <v>2010</v>
      </c>
      <c r="B122" s="170" t="s">
        <v>320</v>
      </c>
      <c r="C122" s="153"/>
      <c r="D122" s="194" t="s">
        <v>321</v>
      </c>
      <c r="E122" s="161">
        <v>0</v>
      </c>
      <c r="F122" s="195">
        <v>109</v>
      </c>
      <c r="G122" s="195"/>
      <c r="H122" s="161">
        <v>135.75</v>
      </c>
      <c r="I122" s="161">
        <v>134.94999999999999</v>
      </c>
      <c r="J122" s="161">
        <v>0</v>
      </c>
      <c r="K122" s="197">
        <v>0</v>
      </c>
      <c r="L122" s="161">
        <v>53</v>
      </c>
      <c r="N122" s="211" t="s">
        <v>318</v>
      </c>
      <c r="O122" s="256" t="s">
        <v>319</v>
      </c>
      <c r="P122" s="218"/>
      <c r="Q122" s="218"/>
      <c r="R122" s="213"/>
      <c r="S122" s="218"/>
      <c r="T122" s="218"/>
      <c r="U122" s="213"/>
      <c r="V122" s="218"/>
      <c r="W122" s="218"/>
      <c r="X122" s="213"/>
      <c r="Y122" s="220">
        <v>332171</v>
      </c>
      <c r="Z122" s="220">
        <v>389960</v>
      </c>
      <c r="AA122" s="215">
        <v>358794.45</v>
      </c>
    </row>
    <row r="123" spans="1:27">
      <c r="A123" s="193">
        <v>2010</v>
      </c>
      <c r="B123" s="170" t="s">
        <v>322</v>
      </c>
      <c r="C123" s="153"/>
      <c r="D123" s="194" t="s">
        <v>323</v>
      </c>
      <c r="E123" s="161">
        <v>0</v>
      </c>
      <c r="F123" s="195" t="s">
        <v>270</v>
      </c>
      <c r="G123" s="195"/>
      <c r="H123" s="161">
        <v>0</v>
      </c>
      <c r="I123" s="161">
        <v>0</v>
      </c>
      <c r="J123" s="161">
        <v>0</v>
      </c>
      <c r="K123" s="197">
        <v>0</v>
      </c>
      <c r="L123" s="161">
        <v>4</v>
      </c>
      <c r="N123" s="211" t="s">
        <v>320</v>
      </c>
      <c r="O123" s="256" t="s">
        <v>321</v>
      </c>
      <c r="P123" s="218"/>
      <c r="Q123" s="218"/>
      <c r="R123" s="216"/>
      <c r="S123" s="218"/>
      <c r="T123" s="218"/>
      <c r="U123" s="216"/>
      <c r="V123" s="218"/>
      <c r="W123" s="218"/>
      <c r="X123" s="216"/>
      <c r="Y123" s="220">
        <v>1209</v>
      </c>
      <c r="Z123" s="220">
        <v>433</v>
      </c>
      <c r="AA123" s="217">
        <v>273.60300000000001</v>
      </c>
    </row>
    <row r="124" spans="1:27">
      <c r="A124" s="193">
        <v>2010</v>
      </c>
      <c r="B124" s="170" t="s">
        <v>324</v>
      </c>
      <c r="C124" s="153"/>
      <c r="D124" s="194" t="s">
        <v>325</v>
      </c>
      <c r="E124" s="161">
        <v>0</v>
      </c>
      <c r="F124" s="195">
        <v>237</v>
      </c>
      <c r="G124" s="195"/>
      <c r="H124" s="161">
        <v>1651.9</v>
      </c>
      <c r="I124" s="161">
        <v>0</v>
      </c>
      <c r="J124" s="161">
        <v>0</v>
      </c>
      <c r="K124" s="197">
        <v>8</v>
      </c>
      <c r="L124" s="161"/>
      <c r="N124" s="211" t="s">
        <v>322</v>
      </c>
      <c r="O124" s="256" t="s">
        <v>323</v>
      </c>
      <c r="P124" s="218"/>
      <c r="Q124" s="218"/>
      <c r="R124" s="213"/>
      <c r="S124" s="218"/>
      <c r="T124" s="218"/>
      <c r="U124" s="213"/>
      <c r="V124" s="218"/>
      <c r="W124" s="218"/>
      <c r="X124" s="213"/>
      <c r="Y124" s="220">
        <v>16</v>
      </c>
      <c r="Z124" s="220">
        <v>4</v>
      </c>
      <c r="AA124" s="215">
        <v>39.902000000000001</v>
      </c>
    </row>
    <row r="125" spans="1:27">
      <c r="A125" s="193">
        <v>2010</v>
      </c>
      <c r="B125" s="170" t="s">
        <v>326</v>
      </c>
      <c r="C125" s="153"/>
      <c r="D125" s="194" t="s">
        <v>327</v>
      </c>
      <c r="E125" s="161">
        <v>0</v>
      </c>
      <c r="F125" s="195" t="s">
        <v>270</v>
      </c>
      <c r="G125" s="195"/>
      <c r="H125" s="161">
        <v>0</v>
      </c>
      <c r="I125" s="161">
        <v>35.950000000000003</v>
      </c>
      <c r="J125" s="161">
        <v>0</v>
      </c>
      <c r="K125" s="197">
        <v>1560</v>
      </c>
      <c r="L125" s="161">
        <v>32</v>
      </c>
      <c r="N125" s="211" t="s">
        <v>324</v>
      </c>
      <c r="O125" s="256" t="s">
        <v>325</v>
      </c>
      <c r="P125" s="218"/>
      <c r="Q125" s="218"/>
      <c r="R125" s="213"/>
      <c r="S125" s="218"/>
      <c r="T125" s="218"/>
      <c r="U125" s="213"/>
      <c r="V125" s="218"/>
      <c r="W125" s="218"/>
      <c r="X125" s="213"/>
      <c r="Y125" s="220">
        <v>808</v>
      </c>
      <c r="Z125" s="220">
        <v>1897</v>
      </c>
      <c r="AA125" s="215">
        <v>2355.4</v>
      </c>
    </row>
    <row r="126" spans="1:27">
      <c r="A126" s="193">
        <v>2010</v>
      </c>
      <c r="B126" s="170" t="s">
        <v>328</v>
      </c>
      <c r="C126" s="153"/>
      <c r="D126" s="194" t="s">
        <v>329</v>
      </c>
      <c r="E126" s="161">
        <v>8</v>
      </c>
      <c r="F126" s="195">
        <v>361</v>
      </c>
      <c r="G126" s="195"/>
      <c r="H126" s="161">
        <v>77.5</v>
      </c>
      <c r="I126" s="161">
        <v>396.79</v>
      </c>
      <c r="J126" s="161">
        <v>0</v>
      </c>
      <c r="K126" s="197">
        <v>435</v>
      </c>
      <c r="L126" s="161">
        <v>2</v>
      </c>
      <c r="N126" s="211" t="s">
        <v>326</v>
      </c>
      <c r="O126" s="256" t="s">
        <v>327</v>
      </c>
      <c r="P126" s="218"/>
      <c r="Q126" s="218"/>
      <c r="R126" s="216"/>
      <c r="S126" s="218"/>
      <c r="T126" s="218"/>
      <c r="U126" s="216"/>
      <c r="V126" s="218"/>
      <c r="W126" s="218" t="s">
        <v>330</v>
      </c>
      <c r="X126" s="216"/>
      <c r="Y126" s="220">
        <v>524</v>
      </c>
      <c r="Z126" s="220">
        <v>1628</v>
      </c>
      <c r="AA126" s="217">
        <v>1845.7</v>
      </c>
    </row>
    <row r="127" spans="1:27">
      <c r="A127" s="193">
        <v>2010</v>
      </c>
      <c r="B127" s="170" t="s">
        <v>245</v>
      </c>
      <c r="C127" s="153"/>
      <c r="D127" s="194" t="s">
        <v>331</v>
      </c>
      <c r="E127" s="161">
        <v>10</v>
      </c>
      <c r="F127" s="195">
        <v>3355</v>
      </c>
      <c r="G127" s="195"/>
      <c r="H127" s="161">
        <v>2515.06</v>
      </c>
      <c r="I127" s="161">
        <v>3939.52</v>
      </c>
      <c r="J127" s="161">
        <v>7564.03</v>
      </c>
      <c r="K127" s="197">
        <v>5543</v>
      </c>
      <c r="L127" s="161">
        <v>38</v>
      </c>
      <c r="N127" s="211" t="s">
        <v>328</v>
      </c>
      <c r="O127" s="256" t="s">
        <v>329</v>
      </c>
      <c r="P127" s="218"/>
      <c r="Q127" s="218"/>
      <c r="R127" s="213"/>
      <c r="S127" s="218"/>
      <c r="T127" s="218"/>
      <c r="U127" s="213"/>
      <c r="V127" s="218"/>
      <c r="W127" s="218"/>
      <c r="X127" s="213"/>
      <c r="Y127" s="220">
        <v>1277</v>
      </c>
      <c r="Z127" s="220">
        <v>1280</v>
      </c>
      <c r="AA127" s="215">
        <v>979.5</v>
      </c>
    </row>
    <row r="128" spans="1:27">
      <c r="A128" s="193">
        <v>2010</v>
      </c>
      <c r="B128" s="170" t="s">
        <v>332</v>
      </c>
      <c r="C128" s="153"/>
      <c r="D128" s="194" t="s">
        <v>333</v>
      </c>
      <c r="E128" s="161">
        <v>0</v>
      </c>
      <c r="F128" s="195" t="s">
        <v>270</v>
      </c>
      <c r="G128" s="195"/>
      <c r="H128" s="196">
        <v>0</v>
      </c>
      <c r="I128" s="196">
        <v>0</v>
      </c>
      <c r="J128" s="196">
        <v>0</v>
      </c>
      <c r="K128" s="197">
        <v>0</v>
      </c>
      <c r="L128" s="196"/>
      <c r="N128" s="211" t="s">
        <v>245</v>
      </c>
      <c r="O128" s="256" t="s">
        <v>331</v>
      </c>
      <c r="P128" s="218"/>
      <c r="Q128" s="218"/>
      <c r="R128" s="213"/>
      <c r="S128" s="218"/>
      <c r="T128" s="218"/>
      <c r="U128" s="213"/>
      <c r="V128" s="218"/>
      <c r="W128" s="218"/>
      <c r="X128" s="213"/>
      <c r="Y128" s="220">
        <v>23509</v>
      </c>
      <c r="Z128" s="220">
        <v>22965</v>
      </c>
      <c r="AA128" s="215">
        <v>27049.268</v>
      </c>
    </row>
    <row r="129" spans="1:27">
      <c r="A129" s="193">
        <v>2010</v>
      </c>
      <c r="B129" s="170" t="s">
        <v>334</v>
      </c>
      <c r="C129" s="153"/>
      <c r="D129" s="194" t="s">
        <v>335</v>
      </c>
      <c r="E129" s="161">
        <v>0</v>
      </c>
      <c r="F129" s="182" t="s">
        <v>270</v>
      </c>
      <c r="G129" s="182"/>
      <c r="H129" s="196">
        <v>0</v>
      </c>
      <c r="I129" s="196">
        <v>0</v>
      </c>
      <c r="J129" s="196">
        <v>0</v>
      </c>
      <c r="K129" s="197">
        <v>0</v>
      </c>
      <c r="L129" s="196"/>
      <c r="N129" s="211" t="s">
        <v>332</v>
      </c>
      <c r="O129" s="256" t="s">
        <v>333</v>
      </c>
      <c r="P129" s="212"/>
      <c r="Q129" s="212"/>
      <c r="R129" s="213"/>
      <c r="S129" s="212"/>
      <c r="T129" s="212"/>
      <c r="U129" s="213"/>
      <c r="V129" s="212"/>
      <c r="W129" s="212"/>
      <c r="X129" s="213"/>
      <c r="Y129" s="214">
        <v>31</v>
      </c>
      <c r="Z129" s="214">
        <v>0</v>
      </c>
      <c r="AA129" s="215">
        <v>14.9</v>
      </c>
    </row>
    <row r="130" spans="1:27">
      <c r="A130" s="193">
        <v>2010</v>
      </c>
      <c r="B130" s="170" t="s">
        <v>336</v>
      </c>
      <c r="C130" s="153"/>
      <c r="D130" s="194" t="s">
        <v>337</v>
      </c>
      <c r="E130" s="161">
        <v>0</v>
      </c>
      <c r="F130" s="182">
        <v>4</v>
      </c>
      <c r="G130" s="182"/>
      <c r="H130" s="196">
        <v>0</v>
      </c>
      <c r="I130" s="196">
        <v>0.01</v>
      </c>
      <c r="J130" s="196">
        <v>0</v>
      </c>
      <c r="K130" s="197">
        <v>0</v>
      </c>
      <c r="L130" s="196"/>
      <c r="N130" s="211" t="s">
        <v>334</v>
      </c>
      <c r="O130" s="256" t="s">
        <v>335</v>
      </c>
      <c r="P130" s="212"/>
      <c r="Q130" s="212"/>
      <c r="R130" s="213"/>
      <c r="S130" s="212"/>
      <c r="T130" s="212"/>
      <c r="U130" s="213"/>
      <c r="V130" s="212"/>
      <c r="W130" s="212"/>
      <c r="X130" s="213"/>
      <c r="Y130" s="214">
        <v>0</v>
      </c>
      <c r="Z130" s="214">
        <v>0</v>
      </c>
      <c r="AA130" s="215">
        <v>0</v>
      </c>
    </row>
    <row r="131" spans="1:27">
      <c r="A131" s="224"/>
      <c r="B131" s="225"/>
      <c r="C131" s="153"/>
      <c r="D131" s="117"/>
      <c r="E131" s="152"/>
      <c r="F131" s="152"/>
      <c r="G131" s="152"/>
      <c r="H131" s="152"/>
      <c r="I131" s="152"/>
      <c r="J131" s="152"/>
      <c r="K131" s="152"/>
      <c r="L131" s="152"/>
      <c r="N131" s="211" t="s">
        <v>336</v>
      </c>
      <c r="O131" s="256" t="s">
        <v>337</v>
      </c>
      <c r="P131" s="212"/>
      <c r="Q131" s="212"/>
      <c r="R131" s="213"/>
      <c r="S131" s="212"/>
      <c r="T131" s="212"/>
      <c r="U131" s="213"/>
      <c r="V131" s="212"/>
      <c r="W131" s="212"/>
      <c r="X131" s="213"/>
      <c r="Y131" s="214">
        <v>8</v>
      </c>
      <c r="Z131" s="214">
        <v>4</v>
      </c>
      <c r="AA131" s="215">
        <v>39.722000000000001</v>
      </c>
    </row>
    <row r="132" spans="1:27">
      <c r="A132" s="193">
        <v>2009</v>
      </c>
      <c r="B132" s="170" t="s">
        <v>243</v>
      </c>
      <c r="C132" s="153"/>
      <c r="D132" s="194" t="s">
        <v>257</v>
      </c>
      <c r="E132" s="161"/>
      <c r="F132" s="195">
        <v>8263.5300000000007</v>
      </c>
      <c r="G132" s="195"/>
      <c r="H132" s="196">
        <v>15500.749999999869</v>
      </c>
      <c r="I132" s="196">
        <v>14989</v>
      </c>
      <c r="J132" s="196">
        <v>668.44899999999996</v>
      </c>
      <c r="K132" s="197">
        <v>10466</v>
      </c>
      <c r="L132" s="196">
        <v>1.05</v>
      </c>
      <c r="N132" s="754" t="s">
        <v>338</v>
      </c>
      <c r="O132" s="755"/>
      <c r="P132" s="192">
        <v>2000</v>
      </c>
      <c r="Q132" s="192">
        <v>2001</v>
      </c>
      <c r="R132" s="192">
        <v>2002</v>
      </c>
      <c r="S132" s="192">
        <v>2003</v>
      </c>
      <c r="T132" s="192">
        <v>2004</v>
      </c>
      <c r="U132" s="192">
        <v>2005</v>
      </c>
      <c r="V132" s="192">
        <v>2006</v>
      </c>
      <c r="W132" s="192">
        <v>2007</v>
      </c>
      <c r="X132" s="192">
        <v>2008</v>
      </c>
      <c r="Y132" s="210">
        <v>2009</v>
      </c>
      <c r="Z132" s="210">
        <v>2010</v>
      </c>
      <c r="AA132" s="210">
        <v>2011</v>
      </c>
    </row>
    <row r="133" spans="1:27">
      <c r="A133" s="193">
        <v>2009</v>
      </c>
      <c r="B133" s="170" t="s">
        <v>258</v>
      </c>
      <c r="C133" s="153"/>
      <c r="D133" s="194" t="s">
        <v>259</v>
      </c>
      <c r="E133" s="161"/>
      <c r="F133" s="195">
        <v>389.44499999999999</v>
      </c>
      <c r="G133" s="195"/>
      <c r="H133" s="196">
        <v>913.47299999999996</v>
      </c>
      <c r="I133" s="196">
        <v>7</v>
      </c>
      <c r="J133" s="196">
        <v>0</v>
      </c>
      <c r="K133" s="197">
        <v>577</v>
      </c>
      <c r="L133" s="196"/>
      <c r="N133" s="211" t="s">
        <v>241</v>
      </c>
      <c r="O133" s="256" t="s">
        <v>339</v>
      </c>
      <c r="P133" s="212"/>
      <c r="Q133" s="212"/>
      <c r="R133" s="213"/>
      <c r="S133" s="212"/>
      <c r="T133" s="212"/>
      <c r="U133" s="213"/>
      <c r="V133" s="212"/>
      <c r="W133" s="212"/>
      <c r="X133" s="213"/>
      <c r="Y133" s="212"/>
      <c r="Z133" s="212"/>
      <c r="AA133" s="213"/>
    </row>
    <row r="134" spans="1:27">
      <c r="A134" s="193">
        <v>2009</v>
      </c>
      <c r="B134" s="170" t="s">
        <v>260</v>
      </c>
      <c r="C134" s="153"/>
      <c r="D134" s="194" t="s">
        <v>261</v>
      </c>
      <c r="E134" s="161"/>
      <c r="F134" s="195">
        <v>60.044499999999999</v>
      </c>
      <c r="G134" s="195"/>
      <c r="H134" s="196">
        <v>0</v>
      </c>
      <c r="I134" s="196">
        <v>229</v>
      </c>
      <c r="J134" s="196">
        <v>0</v>
      </c>
      <c r="K134" s="197">
        <v>796</v>
      </c>
      <c r="L134" s="196"/>
      <c r="N134" s="211" t="s">
        <v>340</v>
      </c>
      <c r="O134" s="256" t="s">
        <v>341</v>
      </c>
      <c r="P134" s="212"/>
      <c r="Q134" s="212"/>
      <c r="R134" s="216"/>
      <c r="S134" s="212"/>
      <c r="T134" s="212"/>
      <c r="U134" s="216"/>
      <c r="V134" s="212"/>
      <c r="W134" s="212"/>
      <c r="X134" s="216"/>
      <c r="Y134" s="212"/>
      <c r="Z134" s="212"/>
      <c r="AA134" s="216"/>
    </row>
    <row r="135" spans="1:27">
      <c r="A135" s="193">
        <v>2009</v>
      </c>
      <c r="B135" s="170" t="s">
        <v>262</v>
      </c>
      <c r="C135" s="153"/>
      <c r="D135" s="194" t="s">
        <v>263</v>
      </c>
      <c r="E135" s="161">
        <v>0.12</v>
      </c>
      <c r="F135" s="195">
        <v>184.8098</v>
      </c>
      <c r="G135" s="195"/>
      <c r="H135" s="196">
        <v>3313.8380000000002</v>
      </c>
      <c r="I135" s="196">
        <v>145</v>
      </c>
      <c r="J135" s="196">
        <v>0</v>
      </c>
      <c r="K135" s="197">
        <v>259</v>
      </c>
      <c r="L135" s="196">
        <v>545</v>
      </c>
      <c r="N135" s="226"/>
      <c r="O135" s="257"/>
      <c r="P135" s="226"/>
      <c r="Q135" s="227">
        <v>648785</v>
      </c>
      <c r="R135" s="228">
        <v>642414</v>
      </c>
      <c r="S135" s="229">
        <v>707666</v>
      </c>
      <c r="T135" s="229">
        <v>881085</v>
      </c>
      <c r="U135" s="230">
        <v>1169624.9480000001</v>
      </c>
      <c r="V135" s="230">
        <v>3258266</v>
      </c>
      <c r="W135" s="230">
        <v>1655970</v>
      </c>
      <c r="X135" s="231">
        <v>1473830</v>
      </c>
      <c r="Y135" s="232">
        <f>SUM(Y86:Y103,Y105:Y131)</f>
        <v>1447065</v>
      </c>
      <c r="Z135" s="232">
        <f>SUM(Z86:Z103,Z105:Z131)</f>
        <v>1949417</v>
      </c>
      <c r="AA135" s="232">
        <f>SUM(AA86:AA103,AA105:AA131)</f>
        <v>2215509.7760000001</v>
      </c>
    </row>
    <row r="136" spans="1:27">
      <c r="A136" s="193">
        <v>2009</v>
      </c>
      <c r="B136" s="170" t="s">
        <v>264</v>
      </c>
      <c r="C136" s="153"/>
      <c r="D136" s="194" t="s">
        <v>265</v>
      </c>
      <c r="E136" s="161"/>
      <c r="F136" s="195">
        <v>14.7258</v>
      </c>
      <c r="G136" s="195"/>
      <c r="H136" s="196">
        <v>332.54899999999998</v>
      </c>
      <c r="I136" s="196">
        <v>27</v>
      </c>
      <c r="J136" s="196">
        <v>0</v>
      </c>
      <c r="K136" s="197">
        <v>22</v>
      </c>
      <c r="L136" s="196"/>
      <c r="N136" s="233"/>
      <c r="O136" s="258" t="s">
        <v>342</v>
      </c>
      <c r="P136" s="234"/>
      <c r="Q136" s="234" t="s">
        <v>343</v>
      </c>
      <c r="R136" s="234" t="s">
        <v>344</v>
      </c>
      <c r="S136" s="234">
        <v>2004</v>
      </c>
      <c r="T136" s="234">
        <v>2004</v>
      </c>
      <c r="U136" s="234" t="s">
        <v>345</v>
      </c>
      <c r="V136" s="234">
        <v>2007</v>
      </c>
      <c r="W136" s="234">
        <v>2007</v>
      </c>
      <c r="X136" s="234">
        <v>2008</v>
      </c>
      <c r="Y136" s="234">
        <v>2011</v>
      </c>
      <c r="Z136" s="234">
        <v>2011</v>
      </c>
      <c r="AA136" s="234">
        <v>2011</v>
      </c>
    </row>
    <row r="137" spans="1:27">
      <c r="A137" s="193">
        <v>2009</v>
      </c>
      <c r="B137" s="170" t="s">
        <v>266</v>
      </c>
      <c r="C137" s="153"/>
      <c r="D137" s="194" t="s">
        <v>267</v>
      </c>
      <c r="E137" s="161">
        <v>0.12</v>
      </c>
      <c r="F137" s="195">
        <v>972.68049999999994</v>
      </c>
      <c r="G137" s="195"/>
      <c r="H137" s="196">
        <v>0</v>
      </c>
      <c r="I137" s="196">
        <v>3</v>
      </c>
      <c r="J137" s="196">
        <v>0</v>
      </c>
      <c r="K137" s="197">
        <v>357</v>
      </c>
      <c r="L137" s="196">
        <v>76</v>
      </c>
    </row>
    <row r="138" spans="1:27">
      <c r="A138" s="193">
        <v>2009</v>
      </c>
      <c r="B138" s="170" t="s">
        <v>268</v>
      </c>
      <c r="C138" s="153"/>
      <c r="D138" s="194" t="s">
        <v>269</v>
      </c>
      <c r="E138" s="161"/>
      <c r="F138" s="195">
        <v>1.01</v>
      </c>
      <c r="G138" s="195"/>
      <c r="H138" s="196">
        <v>0</v>
      </c>
      <c r="I138" s="196">
        <v>0</v>
      </c>
      <c r="J138" s="196">
        <v>0</v>
      </c>
      <c r="K138" s="197">
        <v>0</v>
      </c>
      <c r="L138" s="196">
        <v>110</v>
      </c>
    </row>
    <row r="139" spans="1:27">
      <c r="A139" s="193">
        <v>2009</v>
      </c>
      <c r="B139" s="170" t="s">
        <v>271</v>
      </c>
      <c r="C139" s="153"/>
      <c r="D139" s="194" t="s">
        <v>272</v>
      </c>
      <c r="E139" s="161">
        <v>341.25</v>
      </c>
      <c r="F139" s="195">
        <v>136661.1</v>
      </c>
      <c r="G139" s="195"/>
      <c r="H139" s="161">
        <v>53337.29300000034</v>
      </c>
      <c r="I139" s="161">
        <v>3349</v>
      </c>
      <c r="J139" s="161">
        <v>3553.7179999999998</v>
      </c>
      <c r="K139" s="197">
        <v>12144</v>
      </c>
      <c r="L139" s="161">
        <v>54000</v>
      </c>
    </row>
    <row r="140" spans="1:27">
      <c r="A140" s="193">
        <v>2009</v>
      </c>
      <c r="B140" s="170" t="s">
        <v>273</v>
      </c>
      <c r="C140" s="153"/>
      <c r="D140" s="194" t="s">
        <v>274</v>
      </c>
      <c r="E140" s="161">
        <v>744.06</v>
      </c>
      <c r="F140" s="195">
        <v>84863.108800000002</v>
      </c>
      <c r="G140" s="195"/>
      <c r="H140" s="161">
        <v>91857.105999999811</v>
      </c>
      <c r="I140" s="161">
        <v>1955</v>
      </c>
      <c r="J140" s="161">
        <v>4114.9639999999999</v>
      </c>
      <c r="K140" s="197">
        <v>81199</v>
      </c>
      <c r="L140" s="161">
        <v>27251</v>
      </c>
    </row>
    <row r="141" spans="1:27">
      <c r="A141" s="193">
        <v>2009</v>
      </c>
      <c r="B141" s="170" t="s">
        <v>275</v>
      </c>
      <c r="C141" s="153"/>
      <c r="D141" s="194" t="s">
        <v>276</v>
      </c>
      <c r="E141" s="161">
        <v>221.08</v>
      </c>
      <c r="F141" s="195">
        <v>3033.4340000000002</v>
      </c>
      <c r="G141" s="195"/>
      <c r="H141" s="161">
        <v>1812.9639999999999</v>
      </c>
      <c r="I141" s="161">
        <v>57</v>
      </c>
      <c r="J141" s="161">
        <v>33.508499999999998</v>
      </c>
      <c r="K141" s="197">
        <v>638</v>
      </c>
      <c r="L141" s="161">
        <v>7</v>
      </c>
    </row>
    <row r="142" spans="1:27">
      <c r="A142" s="193">
        <v>2009</v>
      </c>
      <c r="B142" s="170" t="s">
        <v>277</v>
      </c>
      <c r="C142" s="153"/>
      <c r="D142" s="194" t="s">
        <v>278</v>
      </c>
      <c r="E142" s="161"/>
      <c r="F142" s="195">
        <v>276.75009999999997</v>
      </c>
      <c r="G142" s="195"/>
      <c r="H142" s="161">
        <v>0</v>
      </c>
      <c r="I142" s="161">
        <v>0</v>
      </c>
      <c r="J142" s="161">
        <v>0</v>
      </c>
      <c r="K142" s="197">
        <v>167</v>
      </c>
      <c r="L142" s="161"/>
    </row>
    <row r="143" spans="1:27">
      <c r="A143" s="193">
        <v>2009</v>
      </c>
      <c r="B143" s="170" t="s">
        <v>201</v>
      </c>
      <c r="C143" s="153"/>
      <c r="D143" s="194" t="s">
        <v>279</v>
      </c>
      <c r="E143" s="161">
        <v>34.53</v>
      </c>
      <c r="F143" s="195">
        <v>17606.885600000001</v>
      </c>
      <c r="G143" s="195"/>
      <c r="H143" s="161">
        <v>8721.6309999999994</v>
      </c>
      <c r="I143" s="161">
        <v>2652</v>
      </c>
      <c r="J143" s="161">
        <v>57.2</v>
      </c>
      <c r="K143" s="197">
        <v>20434</v>
      </c>
      <c r="L143" s="161">
        <v>441</v>
      </c>
    </row>
    <row r="144" spans="1:27">
      <c r="A144" s="193">
        <v>2009</v>
      </c>
      <c r="B144" s="170" t="s">
        <v>203</v>
      </c>
      <c r="C144" s="153"/>
      <c r="D144" s="194" t="s">
        <v>280</v>
      </c>
      <c r="E144" s="161">
        <v>0.01</v>
      </c>
      <c r="F144" s="195">
        <v>2509.0117</v>
      </c>
      <c r="G144" s="195"/>
      <c r="H144" s="161">
        <v>2706.1210000000001</v>
      </c>
      <c r="I144" s="161">
        <v>205</v>
      </c>
      <c r="J144" s="161">
        <v>0</v>
      </c>
      <c r="K144" s="197">
        <v>4561</v>
      </c>
      <c r="L144" s="161"/>
    </row>
    <row r="145" spans="1:12">
      <c r="A145" s="193">
        <v>2009</v>
      </c>
      <c r="B145" s="170" t="s">
        <v>281</v>
      </c>
      <c r="C145" s="153"/>
      <c r="D145" s="194" t="s">
        <v>282</v>
      </c>
      <c r="E145" s="161">
        <v>11.85</v>
      </c>
      <c r="F145" s="195">
        <v>1410.8488000000002</v>
      </c>
      <c r="G145" s="195"/>
      <c r="H145" s="161">
        <v>457.09399999999999</v>
      </c>
      <c r="I145" s="161">
        <v>1033</v>
      </c>
      <c r="J145" s="161">
        <v>0</v>
      </c>
      <c r="K145" s="197">
        <v>622</v>
      </c>
      <c r="L145" s="161">
        <v>12</v>
      </c>
    </row>
    <row r="146" spans="1:12">
      <c r="A146" s="193">
        <v>2009</v>
      </c>
      <c r="B146" s="170" t="s">
        <v>283</v>
      </c>
      <c r="C146" s="153"/>
      <c r="D146" s="194" t="s">
        <v>284</v>
      </c>
      <c r="E146" s="161"/>
      <c r="F146" s="195">
        <v>0</v>
      </c>
      <c r="G146" s="195"/>
      <c r="H146" s="161">
        <v>981.10599999999999</v>
      </c>
      <c r="I146" s="161">
        <v>0</v>
      </c>
      <c r="J146" s="161">
        <v>0</v>
      </c>
      <c r="K146" s="197">
        <v>0</v>
      </c>
      <c r="L146" s="161">
        <v>1589</v>
      </c>
    </row>
    <row r="147" spans="1:12">
      <c r="A147" s="193">
        <v>2009</v>
      </c>
      <c r="B147" s="170" t="s">
        <v>285</v>
      </c>
      <c r="C147" s="153"/>
      <c r="D147" s="194" t="s">
        <v>286</v>
      </c>
      <c r="E147" s="161">
        <v>31.78</v>
      </c>
      <c r="F147" s="195">
        <v>438.65309999999999</v>
      </c>
      <c r="G147" s="195"/>
      <c r="H147" s="161">
        <v>237.63499999999999</v>
      </c>
      <c r="I147" s="161">
        <v>96</v>
      </c>
      <c r="J147" s="161">
        <v>0.81399999999999995</v>
      </c>
      <c r="K147" s="197">
        <v>2361</v>
      </c>
      <c r="L147" s="161">
        <v>11</v>
      </c>
    </row>
    <row r="148" spans="1:12">
      <c r="A148" s="193">
        <v>2009</v>
      </c>
      <c r="B148" s="170" t="s">
        <v>287</v>
      </c>
      <c r="C148" s="153"/>
      <c r="D148" s="194" t="s">
        <v>288</v>
      </c>
      <c r="E148" s="161"/>
      <c r="F148" s="195">
        <v>235.90349999999998</v>
      </c>
      <c r="G148" s="195"/>
      <c r="H148" s="161">
        <v>4811.1989999999996</v>
      </c>
      <c r="I148" s="196">
        <v>348</v>
      </c>
      <c r="J148" s="196">
        <v>3.2</v>
      </c>
      <c r="K148" s="197">
        <v>0</v>
      </c>
      <c r="L148" s="196">
        <v>162</v>
      </c>
    </row>
    <row r="149" spans="1:12">
      <c r="A149" s="193">
        <v>2009</v>
      </c>
      <c r="B149" s="170" t="s">
        <v>289</v>
      </c>
      <c r="C149" s="153"/>
      <c r="D149" s="194" t="s">
        <v>290</v>
      </c>
      <c r="E149" s="161"/>
      <c r="F149" s="195">
        <v>13531.202299999999</v>
      </c>
      <c r="G149" s="195"/>
      <c r="H149" s="196">
        <v>62697.894999999997</v>
      </c>
      <c r="I149" s="196">
        <v>5463</v>
      </c>
      <c r="J149" s="196">
        <v>0</v>
      </c>
      <c r="K149" s="197">
        <v>39727</v>
      </c>
      <c r="L149" s="196">
        <v>1178</v>
      </c>
    </row>
    <row r="150" spans="1:12">
      <c r="A150" s="193">
        <v>2009</v>
      </c>
      <c r="B150" s="170" t="s">
        <v>291</v>
      </c>
      <c r="C150" s="153"/>
      <c r="D150" s="194" t="s">
        <v>292</v>
      </c>
      <c r="E150" s="161"/>
      <c r="F150" s="195">
        <v>0.21209999999999998</v>
      </c>
      <c r="G150" s="195"/>
      <c r="H150" s="196">
        <v>0</v>
      </c>
      <c r="I150" s="196">
        <v>70</v>
      </c>
      <c r="J150" s="196">
        <v>0</v>
      </c>
      <c r="K150" s="197">
        <v>0</v>
      </c>
      <c r="L150" s="196"/>
    </row>
    <row r="151" spans="1:12">
      <c r="A151" s="193">
        <v>2009</v>
      </c>
      <c r="B151" s="170" t="s">
        <v>294</v>
      </c>
      <c r="C151" s="153"/>
      <c r="D151" s="194" t="s">
        <v>295</v>
      </c>
      <c r="E151" s="161"/>
      <c r="F151" s="195">
        <v>9.0899999999999995E-2</v>
      </c>
      <c r="G151" s="195"/>
      <c r="H151" s="196">
        <v>0</v>
      </c>
      <c r="I151" s="196">
        <v>0</v>
      </c>
      <c r="J151" s="196">
        <v>0</v>
      </c>
      <c r="K151" s="197">
        <v>0</v>
      </c>
      <c r="L151" s="196"/>
    </row>
    <row r="152" spans="1:12">
      <c r="A152" s="193">
        <v>2009</v>
      </c>
      <c r="B152" s="170" t="s">
        <v>296</v>
      </c>
      <c r="C152" s="153"/>
      <c r="D152" s="194" t="s">
        <v>297</v>
      </c>
      <c r="E152" s="161"/>
      <c r="F152" s="195">
        <v>1034.1087</v>
      </c>
      <c r="G152" s="195"/>
      <c r="H152" s="196">
        <v>516.17800000000011</v>
      </c>
      <c r="I152" s="196">
        <v>80</v>
      </c>
      <c r="J152" s="196">
        <v>0</v>
      </c>
      <c r="K152" s="197">
        <v>1035</v>
      </c>
      <c r="L152" s="196">
        <v>91</v>
      </c>
    </row>
    <row r="153" spans="1:12">
      <c r="A153" s="193">
        <v>2009</v>
      </c>
      <c r="B153" s="170" t="s">
        <v>171</v>
      </c>
      <c r="C153" s="153"/>
      <c r="D153" s="194" t="s">
        <v>298</v>
      </c>
      <c r="E153" s="161"/>
      <c r="F153" s="195">
        <v>0.1313</v>
      </c>
      <c r="G153" s="195"/>
      <c r="H153" s="196">
        <v>314.20499999999998</v>
      </c>
      <c r="I153" s="196">
        <v>107</v>
      </c>
      <c r="J153" s="196">
        <v>0</v>
      </c>
      <c r="K153" s="197">
        <v>0</v>
      </c>
      <c r="L153" s="196"/>
    </row>
    <row r="154" spans="1:12">
      <c r="A154" s="193">
        <v>2009</v>
      </c>
      <c r="B154" s="170" t="s">
        <v>213</v>
      </c>
      <c r="C154" s="153"/>
      <c r="D154" s="194" t="s">
        <v>299</v>
      </c>
      <c r="E154" s="161"/>
      <c r="F154" s="161">
        <v>7449.74</v>
      </c>
      <c r="G154" s="161"/>
      <c r="H154" s="196">
        <v>394.14399999999995</v>
      </c>
      <c r="I154" s="196">
        <v>11958</v>
      </c>
      <c r="J154" s="196">
        <v>108.7</v>
      </c>
      <c r="K154" s="197">
        <v>8272</v>
      </c>
      <c r="L154" s="196">
        <v>4</v>
      </c>
    </row>
    <row r="155" spans="1:12">
      <c r="A155" s="193">
        <v>2009</v>
      </c>
      <c r="B155" s="170" t="s">
        <v>300</v>
      </c>
      <c r="C155" s="153"/>
      <c r="D155" s="194" t="s">
        <v>301</v>
      </c>
      <c r="E155" s="161"/>
      <c r="F155" s="195">
        <v>11415.565400000001</v>
      </c>
      <c r="G155" s="195"/>
      <c r="H155" s="196">
        <v>28.442</v>
      </c>
      <c r="I155" s="196">
        <v>1</v>
      </c>
      <c r="J155" s="196">
        <v>0</v>
      </c>
      <c r="K155" s="197">
        <v>34</v>
      </c>
      <c r="L155" s="196">
        <v>411</v>
      </c>
    </row>
    <row r="156" spans="1:12">
      <c r="A156" s="193">
        <v>2009</v>
      </c>
      <c r="B156" s="170" t="s">
        <v>206</v>
      </c>
      <c r="C156" s="153"/>
      <c r="D156" s="194" t="s">
        <v>302</v>
      </c>
      <c r="E156" s="161"/>
      <c r="F156" s="195">
        <v>323.29089999999997</v>
      </c>
      <c r="G156" s="195"/>
      <c r="H156" s="196">
        <v>0</v>
      </c>
      <c r="I156" s="196">
        <v>32</v>
      </c>
      <c r="J156" s="196">
        <v>0</v>
      </c>
      <c r="K156" s="197">
        <v>6</v>
      </c>
      <c r="L156" s="196"/>
    </row>
    <row r="157" spans="1:12">
      <c r="A157" s="193">
        <v>2009</v>
      </c>
      <c r="B157" s="170" t="s">
        <v>189</v>
      </c>
      <c r="C157" s="153"/>
      <c r="D157" s="194" t="s">
        <v>303</v>
      </c>
      <c r="E157" s="161"/>
      <c r="F157" s="195">
        <v>19.834500000000002</v>
      </c>
      <c r="G157" s="195"/>
      <c r="H157" s="196">
        <v>341.428</v>
      </c>
      <c r="I157" s="196">
        <v>1</v>
      </c>
      <c r="J157" s="196">
        <v>0</v>
      </c>
      <c r="K157" s="197">
        <v>1</v>
      </c>
      <c r="L157" s="196"/>
    </row>
    <row r="158" spans="1:12">
      <c r="A158" s="193">
        <v>2009</v>
      </c>
      <c r="B158" s="170" t="s">
        <v>304</v>
      </c>
      <c r="C158" s="153"/>
      <c r="D158" s="194" t="s">
        <v>305</v>
      </c>
      <c r="E158" s="161"/>
      <c r="F158" s="195">
        <v>7.0700000000000013E-2</v>
      </c>
      <c r="G158" s="195"/>
      <c r="H158" s="196">
        <v>0</v>
      </c>
      <c r="I158" s="196">
        <v>0</v>
      </c>
      <c r="J158" s="196">
        <v>0</v>
      </c>
      <c r="K158" s="197">
        <v>0</v>
      </c>
      <c r="L158" s="196">
        <v>37</v>
      </c>
    </row>
    <row r="159" spans="1:12">
      <c r="A159" s="193">
        <v>2009</v>
      </c>
      <c r="B159" s="170" t="s">
        <v>306</v>
      </c>
      <c r="C159" s="153"/>
      <c r="D159" s="194" t="s">
        <v>307</v>
      </c>
      <c r="E159" s="161"/>
      <c r="F159" s="195">
        <v>0</v>
      </c>
      <c r="G159" s="195"/>
      <c r="H159" s="196">
        <v>0</v>
      </c>
      <c r="I159" s="196">
        <v>0</v>
      </c>
      <c r="J159" s="196">
        <v>0</v>
      </c>
      <c r="K159" s="197">
        <v>0</v>
      </c>
      <c r="L159" s="196"/>
    </row>
    <row r="160" spans="1:12">
      <c r="A160" s="193">
        <v>2009</v>
      </c>
      <c r="B160" s="170" t="s">
        <v>195</v>
      </c>
      <c r="C160" s="153"/>
      <c r="D160" s="194" t="s">
        <v>308</v>
      </c>
      <c r="E160" s="161">
        <v>8.9600000000000009</v>
      </c>
      <c r="F160" s="195">
        <v>738</v>
      </c>
      <c r="G160" s="195"/>
      <c r="H160" s="161">
        <v>146.55699999999999</v>
      </c>
      <c r="I160" s="161">
        <v>16</v>
      </c>
      <c r="J160" s="196">
        <v>0</v>
      </c>
      <c r="K160" s="197">
        <v>67</v>
      </c>
      <c r="L160" s="161"/>
    </row>
    <row r="161" spans="1:12">
      <c r="A161" s="193">
        <v>2009</v>
      </c>
      <c r="B161" s="170" t="s">
        <v>309</v>
      </c>
      <c r="C161" s="153"/>
      <c r="D161" s="194" t="s">
        <v>310</v>
      </c>
      <c r="E161" s="161"/>
      <c r="F161" s="195">
        <v>0</v>
      </c>
      <c r="G161" s="195"/>
      <c r="H161" s="161">
        <v>0</v>
      </c>
      <c r="I161" s="161">
        <v>0</v>
      </c>
      <c r="J161" s="161">
        <v>0</v>
      </c>
      <c r="K161" s="197">
        <v>12</v>
      </c>
      <c r="L161" s="161"/>
    </row>
    <row r="162" spans="1:12">
      <c r="A162" s="193">
        <v>2009</v>
      </c>
      <c r="B162" s="170" t="s">
        <v>187</v>
      </c>
      <c r="C162" s="153"/>
      <c r="D162" s="194" t="s">
        <v>311</v>
      </c>
      <c r="E162" s="161">
        <v>150.06</v>
      </c>
      <c r="F162" s="195">
        <v>34230.524999999994</v>
      </c>
      <c r="G162" s="195"/>
      <c r="H162" s="161">
        <v>3812.13</v>
      </c>
      <c r="I162" s="161">
        <v>1304</v>
      </c>
      <c r="J162" s="161">
        <v>7.1999999999999995E-2</v>
      </c>
      <c r="K162" s="197">
        <v>6411</v>
      </c>
      <c r="L162" s="161">
        <v>12</v>
      </c>
    </row>
    <row r="163" spans="1:12">
      <c r="A163" s="193">
        <v>2009</v>
      </c>
      <c r="B163" s="170" t="s">
        <v>198</v>
      </c>
      <c r="C163" s="153"/>
      <c r="D163" s="194" t="s">
        <v>312</v>
      </c>
      <c r="E163" s="161"/>
      <c r="F163" s="195">
        <v>9.4535999999999998</v>
      </c>
      <c r="G163" s="195"/>
      <c r="H163" s="161">
        <v>579.48</v>
      </c>
      <c r="I163" s="161">
        <v>0</v>
      </c>
      <c r="J163" s="161">
        <v>26</v>
      </c>
      <c r="K163" s="197">
        <v>9</v>
      </c>
      <c r="L163" s="161"/>
    </row>
    <row r="164" spans="1:12">
      <c r="A164" s="193">
        <v>2009</v>
      </c>
      <c r="B164" s="170" t="s">
        <v>153</v>
      </c>
      <c r="C164" s="153"/>
      <c r="D164" s="194" t="s">
        <v>313</v>
      </c>
      <c r="E164" s="161"/>
      <c r="F164" s="195">
        <v>0.89890000000000003</v>
      </c>
      <c r="G164" s="195"/>
      <c r="H164" s="161">
        <v>11.148999999999999</v>
      </c>
      <c r="I164" s="161">
        <v>23</v>
      </c>
      <c r="J164" s="161">
        <v>0</v>
      </c>
      <c r="K164" s="197">
        <v>31</v>
      </c>
      <c r="L164" s="161">
        <v>2</v>
      </c>
    </row>
    <row r="165" spans="1:12">
      <c r="A165" s="193">
        <v>2009</v>
      </c>
      <c r="B165" s="170" t="s">
        <v>314</v>
      </c>
      <c r="C165" s="153"/>
      <c r="D165" s="194" t="s">
        <v>315</v>
      </c>
      <c r="E165" s="161">
        <v>1.72</v>
      </c>
      <c r="F165" s="195">
        <v>29297.3</v>
      </c>
      <c r="G165" s="195"/>
      <c r="H165" s="161">
        <v>13520.359</v>
      </c>
      <c r="I165" s="161">
        <v>4013</v>
      </c>
      <c r="J165" s="161">
        <v>18.16</v>
      </c>
      <c r="K165" s="197">
        <v>19794</v>
      </c>
      <c r="L165" s="161">
        <v>2737</v>
      </c>
    </row>
    <row r="166" spans="1:12">
      <c r="A166" s="193">
        <v>2009</v>
      </c>
      <c r="B166" s="170" t="s">
        <v>316</v>
      </c>
      <c r="C166" s="153"/>
      <c r="D166" s="194" t="s">
        <v>317</v>
      </c>
      <c r="E166" s="161">
        <v>1.68</v>
      </c>
      <c r="F166" s="195">
        <v>7440.2579999999998</v>
      </c>
      <c r="G166" s="195"/>
      <c r="H166" s="161">
        <v>31684.242999999995</v>
      </c>
      <c r="I166" s="161">
        <v>24924</v>
      </c>
      <c r="J166" s="161">
        <v>79.415000000000006</v>
      </c>
      <c r="K166" s="197">
        <v>10131</v>
      </c>
      <c r="L166" s="161">
        <v>34631</v>
      </c>
    </row>
    <row r="167" spans="1:12">
      <c r="A167" s="193">
        <v>2009</v>
      </c>
      <c r="B167" s="170" t="s">
        <v>318</v>
      </c>
      <c r="C167" s="153"/>
      <c r="D167" s="194" t="s">
        <v>319</v>
      </c>
      <c r="E167" s="161">
        <f>(17950.62+710.41)</f>
        <v>18661.03</v>
      </c>
      <c r="F167" s="195">
        <v>222299.41</v>
      </c>
      <c r="G167" s="195"/>
      <c r="H167" s="161">
        <v>57145.488000000005</v>
      </c>
      <c r="I167" s="161">
        <v>2174</v>
      </c>
      <c r="J167" s="161">
        <v>2022.6079999999999</v>
      </c>
      <c r="K167" s="197">
        <v>29868</v>
      </c>
      <c r="L167" s="161"/>
    </row>
    <row r="168" spans="1:12">
      <c r="A168" s="193">
        <v>2009</v>
      </c>
      <c r="B168" s="170" t="s">
        <v>320</v>
      </c>
      <c r="C168" s="153"/>
      <c r="D168" s="194" t="s">
        <v>321</v>
      </c>
      <c r="E168" s="161"/>
      <c r="F168" s="195">
        <v>136.0874</v>
      </c>
      <c r="G168" s="195"/>
      <c r="H168" s="161">
        <v>879.07500000000005</v>
      </c>
      <c r="I168" s="161">
        <v>141</v>
      </c>
      <c r="J168" s="161">
        <v>0</v>
      </c>
      <c r="K168" s="197">
        <v>0</v>
      </c>
      <c r="L168" s="161">
        <v>53</v>
      </c>
    </row>
    <row r="169" spans="1:12">
      <c r="A169" s="193">
        <v>2009</v>
      </c>
      <c r="B169" s="170" t="s">
        <v>322</v>
      </c>
      <c r="C169" s="153"/>
      <c r="D169" s="194" t="s">
        <v>323</v>
      </c>
      <c r="E169" s="161"/>
      <c r="F169" s="195">
        <v>0</v>
      </c>
      <c r="G169" s="195"/>
      <c r="H169" s="161">
        <v>3.3220000000000001</v>
      </c>
      <c r="I169" s="161">
        <v>0</v>
      </c>
      <c r="J169" s="161">
        <v>0</v>
      </c>
      <c r="K169" s="197">
        <v>3</v>
      </c>
      <c r="L169" s="161">
        <v>10</v>
      </c>
    </row>
    <row r="170" spans="1:12">
      <c r="A170" s="193">
        <v>2009</v>
      </c>
      <c r="B170" s="170" t="s">
        <v>324</v>
      </c>
      <c r="C170" s="153"/>
      <c r="D170" s="194" t="s">
        <v>325</v>
      </c>
      <c r="E170" s="161"/>
      <c r="F170" s="195">
        <v>38.3093</v>
      </c>
      <c r="G170" s="195"/>
      <c r="H170" s="161">
        <v>701.90700000000004</v>
      </c>
      <c r="I170" s="161">
        <v>2</v>
      </c>
      <c r="J170" s="161">
        <v>0</v>
      </c>
      <c r="K170" s="197">
        <v>66</v>
      </c>
      <c r="L170" s="161"/>
    </row>
    <row r="171" spans="1:12">
      <c r="A171" s="193">
        <v>2009</v>
      </c>
      <c r="B171" s="170" t="s">
        <v>326</v>
      </c>
      <c r="C171" s="153"/>
      <c r="D171" s="194" t="s">
        <v>327</v>
      </c>
      <c r="E171" s="161"/>
      <c r="F171" s="195">
        <v>2.1412</v>
      </c>
      <c r="G171" s="195"/>
      <c r="H171" s="161">
        <v>0</v>
      </c>
      <c r="I171" s="161">
        <v>17</v>
      </c>
      <c r="J171" s="161">
        <v>0</v>
      </c>
      <c r="K171" s="197">
        <v>469</v>
      </c>
      <c r="L171" s="161">
        <v>36</v>
      </c>
    </row>
    <row r="172" spans="1:12">
      <c r="A172" s="193">
        <v>2009</v>
      </c>
      <c r="B172" s="170" t="s">
        <v>328</v>
      </c>
      <c r="C172" s="153"/>
      <c r="D172" s="194" t="s">
        <v>329</v>
      </c>
      <c r="E172" s="161">
        <v>6.7</v>
      </c>
      <c r="F172" s="195">
        <v>586.31100000000004</v>
      </c>
      <c r="G172" s="195"/>
      <c r="H172" s="161">
        <v>48.89</v>
      </c>
      <c r="I172" s="161">
        <v>338</v>
      </c>
      <c r="J172" s="161">
        <v>26.8</v>
      </c>
      <c r="K172" s="197">
        <v>268</v>
      </c>
      <c r="L172" s="161">
        <v>2</v>
      </c>
    </row>
    <row r="173" spans="1:12">
      <c r="A173" s="193">
        <v>2009</v>
      </c>
      <c r="B173" s="170" t="s">
        <v>245</v>
      </c>
      <c r="C173" s="153"/>
      <c r="D173" s="194" t="s">
        <v>331</v>
      </c>
      <c r="E173" s="161">
        <v>13.57</v>
      </c>
      <c r="F173" s="195">
        <v>2953.1794</v>
      </c>
      <c r="G173" s="195"/>
      <c r="H173" s="161">
        <v>1154.934</v>
      </c>
      <c r="I173" s="161">
        <v>2292</v>
      </c>
      <c r="J173" s="161">
        <v>10892.07</v>
      </c>
      <c r="K173" s="197">
        <v>6133</v>
      </c>
      <c r="L173" s="161">
        <v>70</v>
      </c>
    </row>
    <row r="174" spans="1:12">
      <c r="A174" s="193">
        <v>2009</v>
      </c>
      <c r="B174" s="170" t="s">
        <v>332</v>
      </c>
      <c r="C174" s="153"/>
      <c r="D174" s="194" t="s">
        <v>333</v>
      </c>
      <c r="E174" s="161"/>
      <c r="F174" s="195">
        <v>0</v>
      </c>
      <c r="G174" s="195"/>
      <c r="H174" s="196">
        <v>0</v>
      </c>
      <c r="I174" s="196">
        <v>30</v>
      </c>
      <c r="J174" s="196">
        <v>0</v>
      </c>
      <c r="K174" s="197">
        <v>0</v>
      </c>
      <c r="L174" s="196">
        <v>1</v>
      </c>
    </row>
    <row r="175" spans="1:12">
      <c r="A175" s="193">
        <v>2009</v>
      </c>
      <c r="B175" s="170" t="s">
        <v>334</v>
      </c>
      <c r="C175" s="153"/>
      <c r="D175" s="194" t="s">
        <v>335</v>
      </c>
      <c r="E175" s="161"/>
      <c r="F175" s="182">
        <v>0</v>
      </c>
      <c r="G175" s="182"/>
      <c r="H175" s="196">
        <v>0</v>
      </c>
      <c r="I175" s="196">
        <v>0</v>
      </c>
      <c r="J175" s="196">
        <v>0</v>
      </c>
      <c r="K175" s="197">
        <v>0</v>
      </c>
      <c r="L175" s="196"/>
    </row>
    <row r="176" spans="1:12">
      <c r="A176" s="193">
        <v>2009</v>
      </c>
      <c r="B176" s="170" t="s">
        <v>336</v>
      </c>
      <c r="C176" s="153"/>
      <c r="D176" s="194" t="s">
        <v>337</v>
      </c>
      <c r="E176" s="161"/>
      <c r="F176" s="182">
        <v>6.9588999999999999</v>
      </c>
      <c r="G176" s="182"/>
      <c r="H176" s="196">
        <v>0</v>
      </c>
      <c r="I176" s="196">
        <v>1</v>
      </c>
      <c r="J176" s="196">
        <v>0</v>
      </c>
      <c r="K176" s="197">
        <v>0</v>
      </c>
      <c r="L176" s="196"/>
    </row>
    <row r="177" spans="1:12">
      <c r="A177" s="224"/>
      <c r="C177" s="153"/>
      <c r="D177" s="117"/>
      <c r="E177" s="152"/>
      <c r="F177" s="235"/>
      <c r="G177" s="235"/>
      <c r="H177" s="236"/>
      <c r="I177" s="236"/>
      <c r="J177" s="236"/>
      <c r="K177" s="237"/>
      <c r="L177" s="236"/>
    </row>
    <row r="178" spans="1:12">
      <c r="A178" s="193">
        <v>2008</v>
      </c>
      <c r="B178" s="170" t="s">
        <v>243</v>
      </c>
      <c r="C178" s="153"/>
      <c r="D178" s="194" t="s">
        <v>257</v>
      </c>
      <c r="E178" s="161"/>
      <c r="F178" s="195">
        <v>6339.3</v>
      </c>
      <c r="G178" s="195"/>
      <c r="H178" s="196">
        <v>29553</v>
      </c>
      <c r="I178" s="196">
        <v>14505</v>
      </c>
      <c r="J178" s="196">
        <v>122.867</v>
      </c>
      <c r="K178" s="197">
        <v>10833</v>
      </c>
      <c r="L178" s="196">
        <v>2264</v>
      </c>
    </row>
    <row r="179" spans="1:12">
      <c r="A179" s="193">
        <v>2008</v>
      </c>
      <c r="B179" s="170" t="s">
        <v>258</v>
      </c>
      <c r="C179" s="153"/>
      <c r="D179" s="194" t="s">
        <v>259</v>
      </c>
      <c r="E179" s="161"/>
      <c r="F179" s="195">
        <v>360.01381499999991</v>
      </c>
      <c r="G179" s="195"/>
      <c r="H179" s="196">
        <v>151</v>
      </c>
      <c r="I179" s="196">
        <v>5</v>
      </c>
      <c r="J179" s="196">
        <v>0</v>
      </c>
      <c r="K179" s="197">
        <v>710</v>
      </c>
      <c r="L179" s="196"/>
    </row>
    <row r="180" spans="1:12">
      <c r="A180" s="193">
        <v>2008</v>
      </c>
      <c r="B180" s="170" t="s">
        <v>260</v>
      </c>
      <c r="C180" s="153"/>
      <c r="D180" s="194" t="s">
        <v>261</v>
      </c>
      <c r="E180" s="161"/>
      <c r="F180" s="195">
        <v>22.927</v>
      </c>
      <c r="G180" s="195"/>
      <c r="H180" s="196">
        <v>1133</v>
      </c>
      <c r="I180" s="196">
        <v>215</v>
      </c>
      <c r="J180" s="196">
        <v>0</v>
      </c>
      <c r="K180" s="197">
        <v>525</v>
      </c>
      <c r="L180" s="196"/>
    </row>
    <row r="181" spans="1:12">
      <c r="A181" s="193">
        <v>2008</v>
      </c>
      <c r="B181" s="170" t="s">
        <v>262</v>
      </c>
      <c r="C181" s="153"/>
      <c r="D181" s="194" t="s">
        <v>263</v>
      </c>
      <c r="E181" s="161">
        <v>0.16</v>
      </c>
      <c r="F181" s="195">
        <v>364.64716800000002</v>
      </c>
      <c r="G181" s="195"/>
      <c r="H181" s="196">
        <v>1029</v>
      </c>
      <c r="I181" s="196">
        <v>388</v>
      </c>
      <c r="J181" s="196">
        <v>0</v>
      </c>
      <c r="K181" s="197">
        <v>748</v>
      </c>
      <c r="L181" s="196">
        <v>341</v>
      </c>
    </row>
    <row r="182" spans="1:12">
      <c r="A182" s="193">
        <v>2008</v>
      </c>
      <c r="B182" s="170" t="s">
        <v>264</v>
      </c>
      <c r="C182" s="153"/>
      <c r="D182" s="194" t="s">
        <v>265</v>
      </c>
      <c r="E182" s="161"/>
      <c r="F182" s="195">
        <v>10.988800000000001</v>
      </c>
      <c r="G182" s="195"/>
      <c r="H182" s="196">
        <v>87</v>
      </c>
      <c r="I182" s="196">
        <v>17</v>
      </c>
      <c r="J182" s="196">
        <v>0</v>
      </c>
      <c r="K182" s="197">
        <v>32</v>
      </c>
      <c r="L182" s="196">
        <v>6</v>
      </c>
    </row>
    <row r="183" spans="1:12">
      <c r="A183" s="193">
        <v>2008</v>
      </c>
      <c r="B183" s="170" t="s">
        <v>266</v>
      </c>
      <c r="C183" s="153"/>
      <c r="D183" s="194" t="s">
        <v>267</v>
      </c>
      <c r="E183" s="161"/>
      <c r="F183" s="195">
        <v>835.12466099999995</v>
      </c>
      <c r="G183" s="195"/>
      <c r="H183" s="196">
        <v>0</v>
      </c>
      <c r="I183" s="196">
        <v>3254</v>
      </c>
      <c r="J183" s="196">
        <v>11.34</v>
      </c>
      <c r="K183" s="197">
        <v>72</v>
      </c>
      <c r="L183" s="196">
        <v>1708</v>
      </c>
    </row>
    <row r="184" spans="1:12">
      <c r="A184" s="193">
        <v>2008</v>
      </c>
      <c r="B184" s="170" t="s">
        <v>268</v>
      </c>
      <c r="C184" s="153"/>
      <c r="D184" s="194" t="s">
        <v>269</v>
      </c>
      <c r="E184" s="161"/>
      <c r="F184" s="195">
        <v>0.01</v>
      </c>
      <c r="G184" s="195"/>
      <c r="H184" s="161">
        <v>0</v>
      </c>
      <c r="I184" s="161">
        <v>0</v>
      </c>
      <c r="J184" s="161">
        <v>0</v>
      </c>
      <c r="K184" s="197">
        <v>0</v>
      </c>
      <c r="L184" s="161">
        <v>128</v>
      </c>
    </row>
    <row r="185" spans="1:12">
      <c r="A185" s="193">
        <v>2008</v>
      </c>
      <c r="B185" s="170" t="s">
        <v>271</v>
      </c>
      <c r="C185" s="153"/>
      <c r="D185" s="194" t="s">
        <v>272</v>
      </c>
      <c r="E185" s="161">
        <v>186.37</v>
      </c>
      <c r="F185" s="195">
        <v>73334.063399999985</v>
      </c>
      <c r="G185" s="195"/>
      <c r="H185" s="161">
        <v>53075</v>
      </c>
      <c r="I185" s="161">
        <v>5341</v>
      </c>
      <c r="J185" s="161">
        <v>1024.425</v>
      </c>
      <c r="K185" s="197">
        <v>12103</v>
      </c>
      <c r="L185" s="161">
        <v>45565</v>
      </c>
    </row>
    <row r="186" spans="1:12">
      <c r="A186" s="193">
        <v>2008</v>
      </c>
      <c r="B186" s="170" t="s">
        <v>273</v>
      </c>
      <c r="C186" s="153"/>
      <c r="D186" s="194" t="s">
        <v>274</v>
      </c>
      <c r="E186" s="161">
        <v>761.11</v>
      </c>
      <c r="F186" s="195">
        <v>80373.650013000006</v>
      </c>
      <c r="G186" s="195"/>
      <c r="H186" s="161">
        <v>91676</v>
      </c>
      <c r="I186" s="161">
        <v>3639</v>
      </c>
      <c r="J186" s="161">
        <v>625.79999999999995</v>
      </c>
      <c r="K186" s="197">
        <v>85651</v>
      </c>
      <c r="L186" s="161">
        <v>30227</v>
      </c>
    </row>
    <row r="187" spans="1:12">
      <c r="A187" s="193">
        <v>2008</v>
      </c>
      <c r="B187" s="170" t="s">
        <v>275</v>
      </c>
      <c r="C187" s="153"/>
      <c r="D187" s="194" t="s">
        <v>276</v>
      </c>
      <c r="E187" s="161">
        <v>406.62</v>
      </c>
      <c r="F187" s="195">
        <v>3118.5769999999998</v>
      </c>
      <c r="G187" s="195"/>
      <c r="H187" s="161">
        <v>1379</v>
      </c>
      <c r="I187" s="161">
        <v>239</v>
      </c>
      <c r="J187" s="161">
        <v>25</v>
      </c>
      <c r="K187" s="197">
        <v>576</v>
      </c>
      <c r="L187" s="161">
        <v>47</v>
      </c>
    </row>
    <row r="188" spans="1:12">
      <c r="A188" s="193">
        <v>2008</v>
      </c>
      <c r="B188" s="170" t="s">
        <v>277</v>
      </c>
      <c r="C188" s="153"/>
      <c r="D188" s="194" t="s">
        <v>278</v>
      </c>
      <c r="E188" s="161">
        <v>1.8</v>
      </c>
      <c r="F188" s="195">
        <v>1601.6919359999999</v>
      </c>
      <c r="G188" s="195"/>
      <c r="H188" s="161"/>
      <c r="I188" s="161">
        <v>48</v>
      </c>
      <c r="J188" s="161">
        <v>0</v>
      </c>
      <c r="K188" s="197">
        <v>284</v>
      </c>
      <c r="L188" s="161">
        <v>1.86</v>
      </c>
    </row>
    <row r="189" spans="1:12">
      <c r="A189" s="193">
        <v>2008</v>
      </c>
      <c r="B189" s="170" t="s">
        <v>201</v>
      </c>
      <c r="C189" s="153"/>
      <c r="D189" s="194" t="s">
        <v>279</v>
      </c>
      <c r="E189" s="161">
        <v>42.73</v>
      </c>
      <c r="F189" s="195">
        <v>17955.663648000002</v>
      </c>
      <c r="G189" s="195"/>
      <c r="H189" s="161">
        <v>5204</v>
      </c>
      <c r="I189" s="161">
        <v>3036</v>
      </c>
      <c r="J189" s="161">
        <v>13</v>
      </c>
      <c r="K189" s="197">
        <v>26154</v>
      </c>
      <c r="L189" s="161">
        <v>780</v>
      </c>
    </row>
    <row r="190" spans="1:12">
      <c r="A190" s="193">
        <v>2008</v>
      </c>
      <c r="B190" s="170" t="s">
        <v>203</v>
      </c>
      <c r="C190" s="153"/>
      <c r="D190" s="194" t="s">
        <v>280</v>
      </c>
      <c r="E190" s="161">
        <v>2.41</v>
      </c>
      <c r="F190" s="195">
        <v>1227.7922590000001</v>
      </c>
      <c r="G190" s="195"/>
      <c r="H190" s="161">
        <v>716</v>
      </c>
      <c r="I190" s="161">
        <v>570</v>
      </c>
      <c r="J190" s="161">
        <v>199.32</v>
      </c>
      <c r="K190" s="197">
        <v>5443</v>
      </c>
      <c r="L190" s="161"/>
    </row>
    <row r="191" spans="1:12">
      <c r="A191" s="193">
        <v>2008</v>
      </c>
      <c r="B191" s="170" t="s">
        <v>281</v>
      </c>
      <c r="C191" s="153"/>
      <c r="D191" s="194" t="s">
        <v>282</v>
      </c>
      <c r="E191" s="161">
        <v>10.85</v>
      </c>
      <c r="F191" s="195">
        <v>1317.5209620000001</v>
      </c>
      <c r="G191" s="195"/>
      <c r="H191" s="161">
        <v>409</v>
      </c>
      <c r="I191" s="161">
        <v>3084</v>
      </c>
      <c r="J191" s="161">
        <v>0</v>
      </c>
      <c r="K191" s="197">
        <v>676</v>
      </c>
      <c r="L191" s="161">
        <v>51</v>
      </c>
    </row>
    <row r="192" spans="1:12">
      <c r="A192" s="193">
        <v>2008</v>
      </c>
      <c r="B192" s="170" t="s">
        <v>283</v>
      </c>
      <c r="C192" s="153"/>
      <c r="D192" s="194" t="s">
        <v>284</v>
      </c>
      <c r="E192" s="161"/>
      <c r="F192" s="195">
        <v>0</v>
      </c>
      <c r="G192" s="195"/>
      <c r="H192" s="161">
        <v>492</v>
      </c>
      <c r="I192" s="161">
        <v>0</v>
      </c>
      <c r="J192" s="161">
        <v>0</v>
      </c>
      <c r="K192" s="197">
        <v>0</v>
      </c>
      <c r="L192" s="161">
        <v>92</v>
      </c>
    </row>
    <row r="193" spans="1:12">
      <c r="A193" s="193">
        <v>2008</v>
      </c>
      <c r="B193" s="170" t="s">
        <v>285</v>
      </c>
      <c r="C193" s="153"/>
      <c r="D193" s="194" t="s">
        <v>286</v>
      </c>
      <c r="E193" s="161">
        <v>28.07</v>
      </c>
      <c r="F193" s="195">
        <v>462.07893900000005</v>
      </c>
      <c r="G193" s="195"/>
      <c r="H193" s="161">
        <v>89</v>
      </c>
      <c r="I193" s="196">
        <v>118</v>
      </c>
      <c r="J193" s="196">
        <v>6.28</v>
      </c>
      <c r="K193" s="197">
        <v>3018</v>
      </c>
      <c r="L193" s="196">
        <v>13</v>
      </c>
    </row>
    <row r="194" spans="1:12">
      <c r="A194" s="193">
        <v>2008</v>
      </c>
      <c r="B194" s="170" t="s">
        <v>287</v>
      </c>
      <c r="C194" s="153"/>
      <c r="D194" s="194" t="s">
        <v>288</v>
      </c>
      <c r="E194" s="161"/>
      <c r="F194" s="195">
        <v>98.846999999999994</v>
      </c>
      <c r="G194" s="195"/>
      <c r="H194" s="196">
        <v>2449</v>
      </c>
      <c r="I194" s="196">
        <v>597</v>
      </c>
      <c r="J194" s="196">
        <v>0</v>
      </c>
      <c r="K194" s="197">
        <v>0</v>
      </c>
      <c r="L194" s="196">
        <v>97</v>
      </c>
    </row>
    <row r="195" spans="1:12">
      <c r="A195" s="193">
        <v>2008</v>
      </c>
      <c r="B195" s="170" t="s">
        <v>289</v>
      </c>
      <c r="C195" s="153"/>
      <c r="D195" s="194" t="s">
        <v>290</v>
      </c>
      <c r="E195" s="161"/>
      <c r="F195" s="195">
        <v>21327.298975999998</v>
      </c>
      <c r="G195" s="195"/>
      <c r="H195" s="196">
        <v>54638</v>
      </c>
      <c r="I195" s="196">
        <v>12479</v>
      </c>
      <c r="J195" s="196">
        <v>0</v>
      </c>
      <c r="K195" s="197">
        <v>55465</v>
      </c>
      <c r="L195" s="196">
        <v>805</v>
      </c>
    </row>
    <row r="196" spans="1:12">
      <c r="A196" s="193">
        <v>2008</v>
      </c>
      <c r="B196" s="170" t="s">
        <v>291</v>
      </c>
      <c r="C196" s="153"/>
      <c r="D196" s="194" t="s">
        <v>292</v>
      </c>
      <c r="E196" s="161"/>
      <c r="F196" s="195">
        <v>0</v>
      </c>
      <c r="G196" s="195"/>
      <c r="H196" s="196">
        <v>0</v>
      </c>
      <c r="I196" s="196">
        <v>4</v>
      </c>
      <c r="J196" s="196">
        <v>0</v>
      </c>
      <c r="K196" s="197">
        <v>0</v>
      </c>
      <c r="L196" s="196">
        <v>0.41</v>
      </c>
    </row>
    <row r="197" spans="1:12">
      <c r="A197" s="193">
        <v>2008</v>
      </c>
      <c r="B197" s="170" t="s">
        <v>294</v>
      </c>
      <c r="C197" s="153"/>
      <c r="D197" s="194" t="s">
        <v>295</v>
      </c>
      <c r="E197" s="161"/>
      <c r="F197" s="195">
        <v>4.04</v>
      </c>
      <c r="G197" s="195"/>
      <c r="H197" s="196">
        <v>0</v>
      </c>
      <c r="I197" s="196">
        <v>0</v>
      </c>
      <c r="J197" s="196">
        <v>0</v>
      </c>
      <c r="K197" s="197">
        <v>0</v>
      </c>
      <c r="L197" s="196">
        <v>3.3000000000000002E-2</v>
      </c>
    </row>
    <row r="198" spans="1:12">
      <c r="A198" s="193">
        <v>2008</v>
      </c>
      <c r="B198" s="170" t="s">
        <v>296</v>
      </c>
      <c r="C198" s="153"/>
      <c r="D198" s="194" t="s">
        <v>297</v>
      </c>
      <c r="E198" s="161"/>
      <c r="F198" s="195">
        <v>816.40794699999992</v>
      </c>
      <c r="G198" s="195"/>
      <c r="H198" s="196">
        <v>163</v>
      </c>
      <c r="I198" s="196">
        <v>44</v>
      </c>
      <c r="J198" s="196">
        <v>0</v>
      </c>
      <c r="K198" s="197">
        <v>1553</v>
      </c>
      <c r="L198" s="196">
        <v>148</v>
      </c>
    </row>
    <row r="199" spans="1:12">
      <c r="A199" s="193">
        <v>2008</v>
      </c>
      <c r="B199" s="170" t="s">
        <v>171</v>
      </c>
      <c r="C199" s="153"/>
      <c r="D199" s="194" t="s">
        <v>298</v>
      </c>
      <c r="E199" s="161"/>
      <c r="F199" s="161">
        <v>4.1308999999999996</v>
      </c>
      <c r="G199" s="161"/>
      <c r="H199" s="196">
        <v>562</v>
      </c>
      <c r="I199" s="196">
        <v>371</v>
      </c>
      <c r="J199" s="196">
        <v>0</v>
      </c>
      <c r="K199" s="197">
        <v>360</v>
      </c>
      <c r="L199" s="196">
        <v>98</v>
      </c>
    </row>
    <row r="200" spans="1:12">
      <c r="A200" s="193">
        <v>2008</v>
      </c>
      <c r="B200" s="170" t="s">
        <v>213</v>
      </c>
      <c r="C200" s="153"/>
      <c r="D200" s="194" t="s">
        <v>299</v>
      </c>
      <c r="E200" s="161"/>
      <c r="F200" s="195">
        <v>11816.5196</v>
      </c>
      <c r="G200" s="195"/>
      <c r="H200" s="196">
        <v>756</v>
      </c>
      <c r="I200" s="196">
        <v>4679</v>
      </c>
      <c r="J200" s="196">
        <v>3689.41</v>
      </c>
      <c r="K200" s="197">
        <v>10863</v>
      </c>
      <c r="L200" s="196">
        <v>302</v>
      </c>
    </row>
    <row r="201" spans="1:12">
      <c r="A201" s="193">
        <v>2008</v>
      </c>
      <c r="B201" s="170" t="s">
        <v>300</v>
      </c>
      <c r="C201" s="153"/>
      <c r="D201" s="194" t="s">
        <v>301</v>
      </c>
      <c r="E201" s="161"/>
      <c r="F201" s="195">
        <v>153.14832000000001</v>
      </c>
      <c r="G201" s="195"/>
      <c r="H201" s="196">
        <v>19</v>
      </c>
      <c r="I201" s="196">
        <v>13</v>
      </c>
      <c r="J201" s="196">
        <v>0</v>
      </c>
      <c r="K201" s="197">
        <v>9</v>
      </c>
      <c r="L201" s="196">
        <v>1194</v>
      </c>
    </row>
    <row r="202" spans="1:12">
      <c r="A202" s="193">
        <v>2008</v>
      </c>
      <c r="B202" s="170" t="s">
        <v>206</v>
      </c>
      <c r="C202" s="153"/>
      <c r="D202" s="194" t="s">
        <v>302</v>
      </c>
      <c r="E202" s="161"/>
      <c r="F202" s="195">
        <v>814.59307799999999</v>
      </c>
      <c r="G202" s="195"/>
      <c r="H202" s="196">
        <v>0</v>
      </c>
      <c r="I202" s="196">
        <v>0</v>
      </c>
      <c r="J202" s="196">
        <v>0</v>
      </c>
      <c r="K202" s="197">
        <v>14</v>
      </c>
      <c r="L202" s="196">
        <v>0</v>
      </c>
    </row>
    <row r="203" spans="1:12">
      <c r="A203" s="193">
        <v>2008</v>
      </c>
      <c r="B203" s="170" t="s">
        <v>189</v>
      </c>
      <c r="C203" s="153"/>
      <c r="D203" s="194" t="s">
        <v>303</v>
      </c>
      <c r="E203" s="161"/>
      <c r="F203" s="195">
        <v>15.350999999999999</v>
      </c>
      <c r="G203" s="195"/>
      <c r="H203" s="196">
        <v>682</v>
      </c>
      <c r="I203" s="196">
        <v>0</v>
      </c>
      <c r="J203" s="196">
        <v>0</v>
      </c>
      <c r="K203" s="197">
        <v>3</v>
      </c>
      <c r="L203" s="196">
        <v>1.2</v>
      </c>
    </row>
    <row r="204" spans="1:12">
      <c r="A204" s="193">
        <v>2008</v>
      </c>
      <c r="B204" s="170" t="s">
        <v>304</v>
      </c>
      <c r="C204" s="153"/>
      <c r="D204" s="194" t="s">
        <v>305</v>
      </c>
      <c r="E204" s="161"/>
      <c r="F204" s="195">
        <v>0</v>
      </c>
      <c r="G204" s="195"/>
      <c r="H204" s="196">
        <v>0</v>
      </c>
      <c r="I204" s="196">
        <v>0</v>
      </c>
      <c r="J204" s="196">
        <v>0</v>
      </c>
      <c r="K204" s="197">
        <v>0</v>
      </c>
      <c r="L204" s="196">
        <v>1158</v>
      </c>
    </row>
    <row r="205" spans="1:12">
      <c r="A205" s="193">
        <v>2008</v>
      </c>
      <c r="B205" s="170" t="s">
        <v>306</v>
      </c>
      <c r="C205" s="153"/>
      <c r="D205" s="194" t="s">
        <v>307</v>
      </c>
      <c r="E205" s="161"/>
      <c r="F205" s="195">
        <v>0</v>
      </c>
      <c r="G205" s="195"/>
      <c r="H205" s="161">
        <v>0</v>
      </c>
      <c r="I205" s="161">
        <v>0</v>
      </c>
      <c r="J205" s="196">
        <v>0</v>
      </c>
      <c r="K205" s="197">
        <v>0</v>
      </c>
      <c r="L205" s="161">
        <v>0</v>
      </c>
    </row>
    <row r="206" spans="1:12">
      <c r="A206" s="193">
        <v>2008</v>
      </c>
      <c r="B206" s="170" t="s">
        <v>195</v>
      </c>
      <c r="C206" s="153"/>
      <c r="D206" s="194" t="s">
        <v>308</v>
      </c>
      <c r="E206" s="161">
        <v>5.07</v>
      </c>
      <c r="F206" s="195">
        <v>838.25</v>
      </c>
      <c r="G206" s="195"/>
      <c r="H206" s="161">
        <v>85</v>
      </c>
      <c r="I206" s="161">
        <v>51</v>
      </c>
      <c r="J206" s="161">
        <v>0</v>
      </c>
      <c r="K206" s="197">
        <v>49</v>
      </c>
      <c r="L206" s="161">
        <v>207</v>
      </c>
    </row>
    <row r="207" spans="1:12">
      <c r="A207" s="193">
        <v>2008</v>
      </c>
      <c r="B207" s="170" t="s">
        <v>309</v>
      </c>
      <c r="C207" s="153"/>
      <c r="D207" s="194" t="s">
        <v>310</v>
      </c>
      <c r="E207" s="161"/>
      <c r="F207" s="195">
        <v>0</v>
      </c>
      <c r="G207" s="195"/>
      <c r="H207" s="161">
        <v>0</v>
      </c>
      <c r="I207" s="161">
        <v>2</v>
      </c>
      <c r="J207" s="161">
        <v>0</v>
      </c>
      <c r="K207" s="197">
        <v>3</v>
      </c>
      <c r="L207" s="161"/>
    </row>
    <row r="208" spans="1:12">
      <c r="A208" s="193">
        <v>2008</v>
      </c>
      <c r="B208" s="170" t="s">
        <v>187</v>
      </c>
      <c r="C208" s="153"/>
      <c r="D208" s="194" t="s">
        <v>311</v>
      </c>
      <c r="E208" s="161">
        <v>173.41</v>
      </c>
      <c r="F208" s="195">
        <v>29663.362199999996</v>
      </c>
      <c r="G208" s="195"/>
      <c r="H208" s="161">
        <v>7269</v>
      </c>
      <c r="I208" s="161">
        <v>2538</v>
      </c>
      <c r="J208" s="161">
        <v>0</v>
      </c>
      <c r="K208" s="197">
        <v>9328</v>
      </c>
      <c r="L208" s="161">
        <v>264</v>
      </c>
    </row>
    <row r="209" spans="1:12">
      <c r="A209" s="193">
        <v>2008</v>
      </c>
      <c r="B209" s="170" t="s">
        <v>198</v>
      </c>
      <c r="C209" s="153"/>
      <c r="D209" s="194" t="s">
        <v>312</v>
      </c>
      <c r="E209" s="161"/>
      <c r="F209" s="195">
        <v>97.384200000000007</v>
      </c>
      <c r="G209" s="195"/>
      <c r="H209" s="161">
        <v>4751</v>
      </c>
      <c r="I209" s="161">
        <v>4</v>
      </c>
      <c r="J209" s="161">
        <v>0</v>
      </c>
      <c r="K209" s="197">
        <v>9</v>
      </c>
      <c r="L209" s="161">
        <v>2</v>
      </c>
    </row>
    <row r="210" spans="1:12">
      <c r="A210" s="193">
        <v>2008</v>
      </c>
      <c r="B210" s="170" t="s">
        <v>153</v>
      </c>
      <c r="C210" s="153"/>
      <c r="D210" s="194" t="s">
        <v>313</v>
      </c>
      <c r="E210" s="161"/>
      <c r="F210" s="195">
        <v>0</v>
      </c>
      <c r="G210" s="195"/>
      <c r="H210" s="161">
        <v>16</v>
      </c>
      <c r="I210" s="161">
        <v>44</v>
      </c>
      <c r="J210" s="161">
        <v>0</v>
      </c>
      <c r="K210" s="197">
        <v>64</v>
      </c>
      <c r="L210" s="161">
        <v>32</v>
      </c>
    </row>
    <row r="211" spans="1:12">
      <c r="A211" s="193">
        <v>2008</v>
      </c>
      <c r="B211" s="170" t="s">
        <v>314</v>
      </c>
      <c r="C211" s="153"/>
      <c r="D211" s="194" t="s">
        <v>315</v>
      </c>
      <c r="E211" s="161">
        <v>8</v>
      </c>
      <c r="F211" s="195">
        <v>31279.335875000001</v>
      </c>
      <c r="G211" s="195"/>
      <c r="H211" s="161">
        <v>14490</v>
      </c>
      <c r="I211" s="161">
        <v>4726</v>
      </c>
      <c r="J211" s="161">
        <v>37</v>
      </c>
      <c r="K211" s="197">
        <v>33274</v>
      </c>
      <c r="L211" s="161">
        <v>3213</v>
      </c>
    </row>
    <row r="212" spans="1:12">
      <c r="A212" s="193">
        <v>2008</v>
      </c>
      <c r="B212" s="170" t="s">
        <v>316</v>
      </c>
      <c r="C212" s="153"/>
      <c r="D212" s="194" t="s">
        <v>317</v>
      </c>
      <c r="E212" s="161">
        <v>10.56</v>
      </c>
      <c r="F212" s="195">
        <v>8814.1329150000001</v>
      </c>
      <c r="G212" s="195"/>
      <c r="H212" s="161">
        <v>25438</v>
      </c>
      <c r="I212" s="161">
        <v>20873</v>
      </c>
      <c r="J212" s="161">
        <v>56.454999999999998</v>
      </c>
      <c r="K212" s="197">
        <v>11270</v>
      </c>
      <c r="L212" s="161">
        <v>87950</v>
      </c>
    </row>
    <row r="213" spans="1:12">
      <c r="A213" s="193">
        <v>2008</v>
      </c>
      <c r="B213" s="170" t="s">
        <v>318</v>
      </c>
      <c r="C213" s="153"/>
      <c r="D213" s="194" t="s">
        <v>319</v>
      </c>
      <c r="E213" s="161">
        <v>23.56</v>
      </c>
      <c r="F213" s="195">
        <v>211184</v>
      </c>
      <c r="G213" s="195"/>
      <c r="H213" s="161">
        <v>63265</v>
      </c>
      <c r="I213" s="161">
        <v>16221</v>
      </c>
      <c r="J213" s="161">
        <v>1009.481</v>
      </c>
      <c r="K213" s="197">
        <v>37960</v>
      </c>
      <c r="L213" s="161"/>
    </row>
    <row r="214" spans="1:12">
      <c r="A214" s="193">
        <v>2008</v>
      </c>
      <c r="B214" s="170" t="s">
        <v>320</v>
      </c>
      <c r="C214" s="153"/>
      <c r="D214" s="194" t="s">
        <v>321</v>
      </c>
      <c r="E214" s="161">
        <v>0.5</v>
      </c>
      <c r="F214" s="195">
        <v>277.085622</v>
      </c>
      <c r="G214" s="195"/>
      <c r="H214" s="161">
        <v>139</v>
      </c>
      <c r="I214" s="161">
        <v>83</v>
      </c>
      <c r="J214" s="161">
        <v>0</v>
      </c>
      <c r="K214" s="197">
        <v>4</v>
      </c>
      <c r="L214" s="161">
        <v>0.06</v>
      </c>
    </row>
    <row r="215" spans="1:12">
      <c r="A215" s="193">
        <v>2008</v>
      </c>
      <c r="B215" s="170" t="s">
        <v>322</v>
      </c>
      <c r="C215" s="153"/>
      <c r="D215" s="194" t="s">
        <v>323</v>
      </c>
      <c r="E215" s="161"/>
      <c r="F215" s="195">
        <v>0</v>
      </c>
      <c r="G215" s="195"/>
      <c r="H215" s="161">
        <v>22</v>
      </c>
      <c r="I215" s="161">
        <v>5</v>
      </c>
      <c r="J215" s="161">
        <v>0</v>
      </c>
      <c r="K215" s="197">
        <v>0</v>
      </c>
      <c r="L215" s="161">
        <v>11.1</v>
      </c>
    </row>
    <row r="216" spans="1:12">
      <c r="A216" s="193">
        <v>2008</v>
      </c>
      <c r="B216" s="170" t="s">
        <v>324</v>
      </c>
      <c r="C216" s="153"/>
      <c r="D216" s="194" t="s">
        <v>325</v>
      </c>
      <c r="E216" s="161"/>
      <c r="F216" s="195">
        <v>11.404515999999999</v>
      </c>
      <c r="G216" s="195"/>
      <c r="H216" s="161">
        <v>549</v>
      </c>
      <c r="I216" s="161">
        <v>1</v>
      </c>
      <c r="J216" s="161">
        <v>0</v>
      </c>
      <c r="K216" s="197">
        <v>74</v>
      </c>
      <c r="L216" s="161">
        <v>0.66</v>
      </c>
    </row>
    <row r="217" spans="1:12">
      <c r="A217" s="193">
        <v>2008</v>
      </c>
      <c r="B217" s="170" t="s">
        <v>326</v>
      </c>
      <c r="C217" s="153"/>
      <c r="D217" s="194" t="s">
        <v>327</v>
      </c>
      <c r="E217" s="161"/>
      <c r="F217" s="195">
        <v>7.0296000000000003</v>
      </c>
      <c r="G217" s="195"/>
      <c r="H217" s="161">
        <v>0</v>
      </c>
      <c r="I217" s="161">
        <v>13</v>
      </c>
      <c r="J217" s="161">
        <v>0</v>
      </c>
      <c r="K217" s="197">
        <v>20</v>
      </c>
      <c r="L217" s="161">
        <v>33</v>
      </c>
    </row>
    <row r="218" spans="1:12">
      <c r="A218" s="193">
        <v>2008</v>
      </c>
      <c r="B218" s="170" t="s">
        <v>328</v>
      </c>
      <c r="C218" s="153"/>
      <c r="D218" s="194" t="s">
        <v>329</v>
      </c>
      <c r="E218" s="161">
        <v>0.92</v>
      </c>
      <c r="F218" s="195">
        <v>624.66480999999987</v>
      </c>
      <c r="G218" s="195"/>
      <c r="H218" s="161">
        <v>179</v>
      </c>
      <c r="I218" s="161">
        <v>671</v>
      </c>
      <c r="J218" s="161">
        <v>28.2</v>
      </c>
      <c r="K218" s="197">
        <v>277</v>
      </c>
      <c r="L218" s="161">
        <v>260</v>
      </c>
    </row>
    <row r="219" spans="1:12">
      <c r="A219" s="193">
        <v>2008</v>
      </c>
      <c r="B219" s="170" t="s">
        <v>245</v>
      </c>
      <c r="C219" s="153"/>
      <c r="D219" s="194" t="s">
        <v>331</v>
      </c>
      <c r="E219" s="161">
        <v>31.16</v>
      </c>
      <c r="F219" s="195">
        <v>1653.347679</v>
      </c>
      <c r="G219" s="195"/>
      <c r="H219" s="196">
        <v>1913</v>
      </c>
      <c r="I219" s="196">
        <v>1372</v>
      </c>
      <c r="J219" s="196">
        <v>6277.2290000000003</v>
      </c>
      <c r="K219" s="197">
        <v>5193</v>
      </c>
      <c r="L219" s="196">
        <v>919</v>
      </c>
    </row>
    <row r="220" spans="1:12">
      <c r="A220" s="193">
        <v>2008</v>
      </c>
      <c r="B220" s="170" t="s">
        <v>332</v>
      </c>
      <c r="C220" s="153"/>
      <c r="D220" s="194" t="s">
        <v>333</v>
      </c>
      <c r="E220" s="161"/>
      <c r="F220" s="182">
        <v>0</v>
      </c>
      <c r="G220" s="182"/>
      <c r="H220" s="196">
        <v>0</v>
      </c>
      <c r="I220" s="196">
        <v>0</v>
      </c>
      <c r="J220" s="196">
        <v>0</v>
      </c>
      <c r="K220" s="197">
        <v>0</v>
      </c>
      <c r="L220" s="196">
        <v>1.79</v>
      </c>
    </row>
    <row r="221" spans="1:12">
      <c r="A221" s="193">
        <v>2008</v>
      </c>
      <c r="B221" s="170" t="s">
        <v>334</v>
      </c>
      <c r="C221" s="153"/>
      <c r="D221" s="194" t="s">
        <v>335</v>
      </c>
      <c r="E221" s="161"/>
      <c r="F221" s="182">
        <v>0</v>
      </c>
      <c r="G221" s="182"/>
      <c r="H221" s="196">
        <v>0</v>
      </c>
      <c r="I221" s="196">
        <v>0</v>
      </c>
      <c r="J221" s="196">
        <v>0</v>
      </c>
      <c r="K221" s="197">
        <v>0</v>
      </c>
      <c r="L221" s="196"/>
    </row>
    <row r="222" spans="1:12">
      <c r="A222" s="193">
        <v>2008</v>
      </c>
      <c r="B222" s="170" t="s">
        <v>336</v>
      </c>
      <c r="C222" s="153"/>
      <c r="D222" s="194" t="s">
        <v>337</v>
      </c>
      <c r="E222" s="161"/>
      <c r="F222" s="195">
        <v>5.4741999999999997</v>
      </c>
      <c r="G222" s="195"/>
      <c r="H222" s="196">
        <v>0</v>
      </c>
      <c r="I222" s="196">
        <v>0</v>
      </c>
      <c r="J222" s="196">
        <v>0</v>
      </c>
      <c r="K222" s="197">
        <v>15</v>
      </c>
      <c r="L222" s="196"/>
    </row>
    <row r="223" spans="1:12">
      <c r="A223" s="224"/>
      <c r="C223" s="153"/>
      <c r="D223" s="117"/>
      <c r="E223" s="152"/>
      <c r="F223" s="235"/>
      <c r="G223" s="235"/>
      <c r="H223" s="236"/>
      <c r="I223" s="236"/>
      <c r="J223" s="236"/>
      <c r="K223" s="237"/>
      <c r="L223" s="236"/>
    </row>
    <row r="224" spans="1:12">
      <c r="A224" s="193">
        <v>2007</v>
      </c>
      <c r="B224" s="170" t="s">
        <v>243</v>
      </c>
      <c r="C224" s="153"/>
      <c r="D224" s="194" t="s">
        <v>257</v>
      </c>
      <c r="E224" s="161"/>
      <c r="F224" s="195">
        <v>10000</v>
      </c>
      <c r="G224" s="195"/>
      <c r="H224" s="196">
        <v>21768</v>
      </c>
      <c r="I224" s="196">
        <v>12976.83</v>
      </c>
      <c r="J224" s="196">
        <v>3876</v>
      </c>
      <c r="K224" s="197">
        <v>8283.6239999999998</v>
      </c>
      <c r="L224" s="196"/>
    </row>
    <row r="225" spans="1:12">
      <c r="A225" s="193">
        <v>2007</v>
      </c>
      <c r="B225" s="170" t="s">
        <v>258</v>
      </c>
      <c r="C225" s="153"/>
      <c r="D225" s="194" t="s">
        <v>259</v>
      </c>
      <c r="E225" s="161"/>
      <c r="F225" s="195">
        <v>1161.26</v>
      </c>
      <c r="G225" s="195"/>
      <c r="H225" s="196">
        <v>214</v>
      </c>
      <c r="I225" s="196">
        <v>5.36</v>
      </c>
      <c r="J225" s="196"/>
      <c r="K225" s="197">
        <v>774.16700000000003</v>
      </c>
      <c r="L225" s="196"/>
    </row>
    <row r="226" spans="1:12">
      <c r="A226" s="193">
        <v>2007</v>
      </c>
      <c r="B226" s="170" t="s">
        <v>260</v>
      </c>
      <c r="C226" s="153"/>
      <c r="D226" s="194" t="s">
        <v>261</v>
      </c>
      <c r="E226" s="161"/>
      <c r="F226" s="195">
        <v>16.28</v>
      </c>
      <c r="G226" s="195"/>
      <c r="H226" s="196">
        <v>722</v>
      </c>
      <c r="I226" s="196">
        <v>535.35</v>
      </c>
      <c r="J226" s="196">
        <v>4.5</v>
      </c>
      <c r="K226" s="197">
        <v>629.72900000000004</v>
      </c>
      <c r="L226" s="196"/>
    </row>
    <row r="227" spans="1:12">
      <c r="A227" s="193">
        <v>2007</v>
      </c>
      <c r="B227" s="170" t="s">
        <v>262</v>
      </c>
      <c r="C227" s="153"/>
      <c r="D227" s="194" t="s">
        <v>263</v>
      </c>
      <c r="E227" s="161"/>
      <c r="F227" s="195">
        <v>924.16</v>
      </c>
      <c r="G227" s="195"/>
      <c r="H227" s="196">
        <v>362</v>
      </c>
      <c r="I227" s="196">
        <v>226.64</v>
      </c>
      <c r="J227" s="196">
        <v>0.6</v>
      </c>
      <c r="K227" s="197">
        <v>129.42400000000001</v>
      </c>
      <c r="L227" s="196"/>
    </row>
    <row r="228" spans="1:12">
      <c r="A228" s="193">
        <v>2007</v>
      </c>
      <c r="B228" s="170" t="s">
        <v>264</v>
      </c>
      <c r="C228" s="153"/>
      <c r="D228" s="194" t="s">
        <v>265</v>
      </c>
      <c r="E228" s="161"/>
      <c r="F228" s="195">
        <v>106.24</v>
      </c>
      <c r="G228" s="195"/>
      <c r="H228" s="196">
        <v>56</v>
      </c>
      <c r="I228" s="196">
        <v>40.270000000000003</v>
      </c>
      <c r="J228" s="196"/>
      <c r="K228" s="197">
        <v>66.417000000000002</v>
      </c>
      <c r="L228" s="196"/>
    </row>
    <row r="229" spans="1:12">
      <c r="A229" s="193">
        <v>2007</v>
      </c>
      <c r="B229" s="170" t="s">
        <v>266</v>
      </c>
      <c r="C229" s="153"/>
      <c r="D229" s="194" t="s">
        <v>267</v>
      </c>
      <c r="E229" s="161"/>
      <c r="F229" s="195">
        <v>622.44000000000005</v>
      </c>
      <c r="G229" s="195"/>
      <c r="H229" s="161">
        <v>0</v>
      </c>
      <c r="I229" s="161">
        <v>29.63</v>
      </c>
      <c r="J229" s="161">
        <v>21.4</v>
      </c>
      <c r="K229" s="197">
        <v>98.5</v>
      </c>
      <c r="L229" s="161"/>
    </row>
    <row r="230" spans="1:12">
      <c r="A230" s="193">
        <v>2007</v>
      </c>
      <c r="B230" s="170" t="s">
        <v>268</v>
      </c>
      <c r="C230" s="153"/>
      <c r="D230" s="194" t="s">
        <v>269</v>
      </c>
      <c r="E230" s="161"/>
      <c r="F230" s="195">
        <v>0.01</v>
      </c>
      <c r="G230" s="195"/>
      <c r="H230" s="161">
        <v>0</v>
      </c>
      <c r="I230" s="161">
        <v>0.32</v>
      </c>
      <c r="J230" s="161"/>
      <c r="K230" s="197">
        <v>0</v>
      </c>
      <c r="L230" s="161"/>
    </row>
    <row r="231" spans="1:12">
      <c r="A231" s="193">
        <v>2007</v>
      </c>
      <c r="B231" s="170" t="s">
        <v>271</v>
      </c>
      <c r="C231" s="153"/>
      <c r="D231" s="194" t="s">
        <v>272</v>
      </c>
      <c r="E231" s="161">
        <v>814</v>
      </c>
      <c r="F231" s="195">
        <v>70000</v>
      </c>
      <c r="G231" s="195"/>
      <c r="H231" s="161">
        <v>65788</v>
      </c>
      <c r="I231" s="161">
        <v>1598.78</v>
      </c>
      <c r="J231" s="161">
        <v>4305.1000000000004</v>
      </c>
      <c r="K231" s="197">
        <v>7061.76</v>
      </c>
      <c r="L231" s="161"/>
    </row>
    <row r="232" spans="1:12">
      <c r="A232" s="193">
        <v>2007</v>
      </c>
      <c r="B232" s="170" t="s">
        <v>273</v>
      </c>
      <c r="C232" s="153"/>
      <c r="D232" s="194" t="s">
        <v>274</v>
      </c>
      <c r="E232" s="161">
        <v>670</v>
      </c>
      <c r="F232" s="195">
        <v>84809.73</v>
      </c>
      <c r="G232" s="195"/>
      <c r="H232" s="161">
        <v>112001</v>
      </c>
      <c r="I232" s="161">
        <v>1620.91</v>
      </c>
      <c r="J232" s="161">
        <v>1510</v>
      </c>
      <c r="K232" s="197">
        <v>40023.521000000001</v>
      </c>
      <c r="L232" s="161"/>
    </row>
    <row r="233" spans="1:12">
      <c r="A233" s="193">
        <v>2007</v>
      </c>
      <c r="B233" s="170" t="s">
        <v>275</v>
      </c>
      <c r="C233" s="153"/>
      <c r="D233" s="194" t="s">
        <v>276</v>
      </c>
      <c r="E233" s="161">
        <v>5</v>
      </c>
      <c r="F233" s="195">
        <v>944.39</v>
      </c>
      <c r="G233" s="195"/>
      <c r="H233" s="161">
        <v>558</v>
      </c>
      <c r="I233" s="161">
        <v>113.7</v>
      </c>
      <c r="J233" s="161">
        <v>24.2</v>
      </c>
      <c r="K233" s="197">
        <v>538.15599999999995</v>
      </c>
      <c r="L233" s="161"/>
    </row>
    <row r="234" spans="1:12">
      <c r="A234" s="193">
        <v>2007</v>
      </c>
      <c r="B234" s="170" t="s">
        <v>277</v>
      </c>
      <c r="C234" s="153"/>
      <c r="D234" s="194" t="s">
        <v>278</v>
      </c>
      <c r="E234" s="161"/>
      <c r="F234" s="195">
        <v>134.16</v>
      </c>
      <c r="G234" s="195"/>
      <c r="H234" s="161">
        <v>0</v>
      </c>
      <c r="I234" s="161">
        <v>382.69</v>
      </c>
      <c r="J234" s="161"/>
      <c r="K234" s="197">
        <v>694.35199999999998</v>
      </c>
      <c r="L234" s="161"/>
    </row>
    <row r="235" spans="1:12">
      <c r="A235" s="193">
        <v>2007</v>
      </c>
      <c r="B235" s="170" t="s">
        <v>201</v>
      </c>
      <c r="C235" s="153"/>
      <c r="D235" s="194" t="s">
        <v>279</v>
      </c>
      <c r="E235" s="161">
        <v>52</v>
      </c>
      <c r="F235" s="195">
        <v>18012.669999999998</v>
      </c>
      <c r="G235" s="195"/>
      <c r="H235" s="161">
        <v>7379</v>
      </c>
      <c r="I235" s="161">
        <v>3317</v>
      </c>
      <c r="J235" s="161">
        <v>174.71</v>
      </c>
      <c r="K235" s="197">
        <v>21853.097000000002</v>
      </c>
      <c r="L235" s="161">
        <v>214</v>
      </c>
    </row>
    <row r="236" spans="1:12">
      <c r="A236" s="193">
        <v>2007</v>
      </c>
      <c r="B236" s="170" t="s">
        <v>203</v>
      </c>
      <c r="C236" s="153"/>
      <c r="D236" s="194" t="s">
        <v>280</v>
      </c>
      <c r="E236" s="161">
        <v>5</v>
      </c>
      <c r="F236" s="195">
        <v>1282.76</v>
      </c>
      <c r="G236" s="195"/>
      <c r="H236" s="161">
        <v>769</v>
      </c>
      <c r="I236" s="161">
        <v>672.91</v>
      </c>
      <c r="J236" s="161"/>
      <c r="K236" s="197">
        <v>5914.21</v>
      </c>
      <c r="L236" s="161"/>
    </row>
    <row r="237" spans="1:12">
      <c r="A237" s="193">
        <v>2007</v>
      </c>
      <c r="B237" s="170" t="s">
        <v>281</v>
      </c>
      <c r="C237" s="153"/>
      <c r="D237" s="194" t="s">
        <v>282</v>
      </c>
      <c r="E237" s="161">
        <v>19</v>
      </c>
      <c r="F237" s="195">
        <v>1228.1300000000001</v>
      </c>
      <c r="G237" s="195"/>
      <c r="H237" s="161">
        <v>30</v>
      </c>
      <c r="I237" s="161">
        <v>645.84</v>
      </c>
      <c r="J237" s="161"/>
      <c r="K237" s="197">
        <v>630.10199999999998</v>
      </c>
      <c r="L237" s="161">
        <v>1</v>
      </c>
    </row>
    <row r="238" spans="1:12">
      <c r="A238" s="193">
        <v>2007</v>
      </c>
      <c r="B238" s="170" t="s">
        <v>283</v>
      </c>
      <c r="C238" s="153"/>
      <c r="D238" s="194" t="s">
        <v>284</v>
      </c>
      <c r="E238" s="161"/>
      <c r="F238" s="195"/>
      <c r="G238" s="195"/>
      <c r="H238" s="161">
        <v>772</v>
      </c>
      <c r="I238" s="196">
        <v>0</v>
      </c>
      <c r="J238" s="196"/>
      <c r="K238" s="197">
        <v>0.35299999999999998</v>
      </c>
      <c r="L238" s="196"/>
    </row>
    <row r="239" spans="1:12">
      <c r="A239" s="193">
        <v>2007</v>
      </c>
      <c r="B239" s="170" t="s">
        <v>285</v>
      </c>
      <c r="C239" s="153"/>
      <c r="D239" s="194" t="s">
        <v>286</v>
      </c>
      <c r="E239" s="161">
        <v>34</v>
      </c>
      <c r="F239" s="195">
        <v>604.6</v>
      </c>
      <c r="G239" s="195"/>
      <c r="H239" s="196">
        <v>249</v>
      </c>
      <c r="I239" s="196">
        <v>125.64</v>
      </c>
      <c r="J239" s="196">
        <v>10.64</v>
      </c>
      <c r="K239" s="197">
        <v>2145.3130000000001</v>
      </c>
      <c r="L239" s="196">
        <v>12</v>
      </c>
    </row>
    <row r="240" spans="1:12">
      <c r="A240" s="193">
        <v>2007</v>
      </c>
      <c r="B240" s="170" t="s">
        <v>287</v>
      </c>
      <c r="C240" s="153"/>
      <c r="D240" s="194" t="s">
        <v>288</v>
      </c>
      <c r="E240" s="161"/>
      <c r="F240" s="195">
        <v>157.69999999999999</v>
      </c>
      <c r="G240" s="195"/>
      <c r="H240" s="196">
        <v>3434</v>
      </c>
      <c r="I240" s="196">
        <v>1511</v>
      </c>
      <c r="J240" s="196"/>
      <c r="K240" s="197">
        <v>11868.49</v>
      </c>
      <c r="L240" s="196">
        <v>2</v>
      </c>
    </row>
    <row r="241" spans="1:12">
      <c r="A241" s="193">
        <v>2007</v>
      </c>
      <c r="B241" s="170" t="s">
        <v>289</v>
      </c>
      <c r="C241" s="153"/>
      <c r="D241" s="194" t="s">
        <v>290</v>
      </c>
      <c r="E241" s="161"/>
      <c r="F241" s="195">
        <v>21876.35</v>
      </c>
      <c r="G241" s="195"/>
      <c r="H241" s="196">
        <v>123807</v>
      </c>
      <c r="I241" s="196">
        <v>13083.14</v>
      </c>
      <c r="J241" s="196"/>
      <c r="K241" s="197"/>
      <c r="L241" s="196"/>
    </row>
    <row r="242" spans="1:12">
      <c r="A242" s="193">
        <v>2007</v>
      </c>
      <c r="B242" s="170" t="s">
        <v>291</v>
      </c>
      <c r="C242" s="153"/>
      <c r="D242" s="194" t="s">
        <v>292</v>
      </c>
      <c r="E242" s="161"/>
      <c r="F242" s="195"/>
      <c r="G242" s="195"/>
      <c r="H242" s="196">
        <v>0</v>
      </c>
      <c r="I242" s="196">
        <v>32.799999999999997</v>
      </c>
      <c r="J242" s="196"/>
      <c r="K242" s="197">
        <v>0</v>
      </c>
      <c r="L242" s="196"/>
    </row>
    <row r="243" spans="1:12">
      <c r="A243" s="193">
        <v>2007</v>
      </c>
      <c r="B243" s="170" t="s">
        <v>294</v>
      </c>
      <c r="C243" s="153"/>
      <c r="D243" s="194" t="s">
        <v>295</v>
      </c>
      <c r="E243" s="161"/>
      <c r="F243" s="195"/>
      <c r="G243" s="195"/>
      <c r="H243" s="196">
        <v>30</v>
      </c>
      <c r="I243" s="196">
        <v>0.42</v>
      </c>
      <c r="J243" s="196"/>
      <c r="K243" s="197">
        <v>0.161</v>
      </c>
      <c r="L243" s="196"/>
    </row>
    <row r="244" spans="1:12">
      <c r="A244" s="193">
        <v>2007</v>
      </c>
      <c r="B244" s="170" t="s">
        <v>296</v>
      </c>
      <c r="C244" s="153"/>
      <c r="D244" s="194" t="s">
        <v>297</v>
      </c>
      <c r="E244" s="161"/>
      <c r="F244" s="161">
        <v>1473.08</v>
      </c>
      <c r="G244" s="161"/>
      <c r="H244" s="196">
        <v>547</v>
      </c>
      <c r="I244" s="196">
        <v>82.59</v>
      </c>
      <c r="J244" s="196"/>
      <c r="K244" s="197">
        <v>755.28099999999995</v>
      </c>
      <c r="L244" s="196"/>
    </row>
    <row r="245" spans="1:12">
      <c r="A245" s="193">
        <v>2007</v>
      </c>
      <c r="B245" s="170" t="s">
        <v>171</v>
      </c>
      <c r="C245" s="153"/>
      <c r="D245" s="194" t="s">
        <v>298</v>
      </c>
      <c r="E245" s="161"/>
      <c r="F245" s="195"/>
      <c r="G245" s="195"/>
      <c r="H245" s="196">
        <v>1939</v>
      </c>
      <c r="I245" s="196">
        <v>228.55</v>
      </c>
      <c r="J245" s="196"/>
      <c r="K245" s="197">
        <v>123.16</v>
      </c>
      <c r="L245" s="196"/>
    </row>
    <row r="246" spans="1:12">
      <c r="A246" s="193">
        <v>2007</v>
      </c>
      <c r="B246" s="170" t="s">
        <v>213</v>
      </c>
      <c r="C246" s="153"/>
      <c r="D246" s="194" t="s">
        <v>299</v>
      </c>
      <c r="E246" s="161"/>
      <c r="F246" s="195">
        <v>18264.099999999999</v>
      </c>
      <c r="G246" s="195"/>
      <c r="H246" s="196">
        <v>1086</v>
      </c>
      <c r="I246" s="196">
        <v>4431</v>
      </c>
      <c r="J246" s="196"/>
      <c r="K246" s="197">
        <v>12545.37</v>
      </c>
      <c r="L246" s="196"/>
    </row>
    <row r="247" spans="1:12">
      <c r="A247" s="193">
        <v>2007</v>
      </c>
      <c r="B247" s="170" t="s">
        <v>300</v>
      </c>
      <c r="C247" s="153"/>
      <c r="D247" s="194" t="s">
        <v>301</v>
      </c>
      <c r="E247" s="161"/>
      <c r="F247" s="195">
        <v>172.85</v>
      </c>
      <c r="G247" s="195"/>
      <c r="H247" s="196">
        <v>0</v>
      </c>
      <c r="I247" s="196">
        <v>5.76</v>
      </c>
      <c r="J247" s="196"/>
      <c r="K247" s="197">
        <v>3.33</v>
      </c>
      <c r="L247" s="196"/>
    </row>
    <row r="248" spans="1:12">
      <c r="A248" s="193">
        <v>2007</v>
      </c>
      <c r="B248" s="170" t="s">
        <v>206</v>
      </c>
      <c r="C248" s="153"/>
      <c r="D248" s="194" t="s">
        <v>302</v>
      </c>
      <c r="E248" s="161"/>
      <c r="F248" s="195">
        <v>919.12</v>
      </c>
      <c r="G248" s="195"/>
      <c r="H248" s="196">
        <v>0</v>
      </c>
      <c r="I248" s="196">
        <v>0</v>
      </c>
      <c r="J248" s="196"/>
      <c r="K248" s="197">
        <v>10.3</v>
      </c>
      <c r="L248" s="196"/>
    </row>
    <row r="249" spans="1:12">
      <c r="A249" s="193">
        <v>2007</v>
      </c>
      <c r="B249" s="170" t="s">
        <v>189</v>
      </c>
      <c r="C249" s="153"/>
      <c r="D249" s="194" t="s">
        <v>303</v>
      </c>
      <c r="E249" s="161"/>
      <c r="F249" s="195">
        <v>12.22</v>
      </c>
      <c r="G249" s="195"/>
      <c r="H249" s="196">
        <v>37</v>
      </c>
      <c r="I249" s="196">
        <v>0.21</v>
      </c>
      <c r="J249" s="196"/>
      <c r="K249" s="197">
        <v>14.634</v>
      </c>
      <c r="L249" s="196"/>
    </row>
    <row r="250" spans="1:12">
      <c r="A250" s="193">
        <v>2007</v>
      </c>
      <c r="B250" s="170" t="s">
        <v>304</v>
      </c>
      <c r="C250" s="153"/>
      <c r="D250" s="194" t="s">
        <v>305</v>
      </c>
      <c r="E250" s="161"/>
      <c r="F250" s="195"/>
      <c r="G250" s="195"/>
      <c r="H250" s="161">
        <v>31</v>
      </c>
      <c r="I250" s="161">
        <v>0</v>
      </c>
      <c r="J250" s="196"/>
      <c r="K250" s="197">
        <v>0</v>
      </c>
      <c r="L250" s="161">
        <v>159</v>
      </c>
    </row>
    <row r="251" spans="1:12">
      <c r="A251" s="193">
        <v>2007</v>
      </c>
      <c r="B251" s="170" t="s">
        <v>306</v>
      </c>
      <c r="C251" s="153"/>
      <c r="D251" s="194" t="s">
        <v>307</v>
      </c>
      <c r="E251" s="161"/>
      <c r="F251" s="195"/>
      <c r="G251" s="195"/>
      <c r="H251" s="161">
        <v>0</v>
      </c>
      <c r="I251" s="161">
        <v>0</v>
      </c>
      <c r="J251" s="161"/>
      <c r="K251" s="197">
        <v>0</v>
      </c>
      <c r="L251" s="161"/>
    </row>
    <row r="252" spans="1:12">
      <c r="A252" s="193">
        <v>2007</v>
      </c>
      <c r="B252" s="170" t="s">
        <v>195</v>
      </c>
      <c r="C252" s="153"/>
      <c r="D252" s="194" t="s">
        <v>308</v>
      </c>
      <c r="E252" s="161">
        <v>8</v>
      </c>
      <c r="F252" s="195">
        <v>10990.49</v>
      </c>
      <c r="G252" s="195"/>
      <c r="H252" s="161">
        <v>31</v>
      </c>
      <c r="I252" s="161">
        <v>9.5299999999999994</v>
      </c>
      <c r="J252" s="161"/>
      <c r="K252" s="197">
        <v>141.61799999999999</v>
      </c>
      <c r="L252" s="161"/>
    </row>
    <row r="253" spans="1:12">
      <c r="A253" s="193">
        <v>2007</v>
      </c>
      <c r="B253" s="170" t="s">
        <v>309</v>
      </c>
      <c r="C253" s="153"/>
      <c r="D253" s="194" t="s">
        <v>310</v>
      </c>
      <c r="E253" s="161"/>
      <c r="F253" s="195"/>
      <c r="G253" s="195"/>
      <c r="H253" s="161">
        <v>0</v>
      </c>
      <c r="I253" s="161">
        <v>0</v>
      </c>
      <c r="J253" s="161"/>
      <c r="K253" s="197">
        <v>0</v>
      </c>
      <c r="L253" s="161"/>
    </row>
    <row r="254" spans="1:12">
      <c r="A254" s="193">
        <v>2007</v>
      </c>
      <c r="B254" s="170" t="s">
        <v>187</v>
      </c>
      <c r="C254" s="153"/>
      <c r="D254" s="194" t="s">
        <v>311</v>
      </c>
      <c r="E254" s="161">
        <v>585</v>
      </c>
      <c r="F254" s="195">
        <v>27921.91</v>
      </c>
      <c r="G254" s="195"/>
      <c r="H254" s="161">
        <v>15005</v>
      </c>
      <c r="I254" s="161">
        <v>8620.08</v>
      </c>
      <c r="J254" s="161"/>
      <c r="K254" s="197">
        <v>8687.0110000000004</v>
      </c>
      <c r="L254" s="161">
        <v>21</v>
      </c>
    </row>
    <row r="255" spans="1:12">
      <c r="A255" s="193">
        <v>2007</v>
      </c>
      <c r="B255" s="170" t="s">
        <v>198</v>
      </c>
      <c r="C255" s="153"/>
      <c r="D255" s="194" t="s">
        <v>312</v>
      </c>
      <c r="E255" s="161"/>
      <c r="F255" s="195">
        <v>52.52</v>
      </c>
      <c r="G255" s="195"/>
      <c r="H255" s="161">
        <v>7156</v>
      </c>
      <c r="I255" s="161">
        <v>0.2</v>
      </c>
      <c r="J255" s="161"/>
      <c r="K255" s="197">
        <v>388.09899999999999</v>
      </c>
      <c r="L255" s="161"/>
    </row>
    <row r="256" spans="1:12">
      <c r="A256" s="193">
        <v>2007</v>
      </c>
      <c r="B256" s="170" t="s">
        <v>153</v>
      </c>
      <c r="C256" s="153"/>
      <c r="D256" s="194" t="s">
        <v>313</v>
      </c>
      <c r="E256" s="161"/>
      <c r="F256" s="195"/>
      <c r="G256" s="195"/>
      <c r="H256" s="161">
        <v>15</v>
      </c>
      <c r="I256" s="161">
        <v>27.47</v>
      </c>
      <c r="J256" s="161"/>
      <c r="K256" s="197">
        <v>15.696</v>
      </c>
      <c r="L256" s="161"/>
    </row>
    <row r="257" spans="1:12">
      <c r="A257" s="193">
        <v>2007</v>
      </c>
      <c r="B257" s="170" t="s">
        <v>314</v>
      </c>
      <c r="C257" s="153"/>
      <c r="D257" s="194" t="s">
        <v>315</v>
      </c>
      <c r="E257" s="161">
        <v>2</v>
      </c>
      <c r="F257" s="195">
        <v>29538.87</v>
      </c>
      <c r="G257" s="195"/>
      <c r="H257" s="161">
        <v>15273</v>
      </c>
      <c r="I257" s="161">
        <v>13163.38</v>
      </c>
      <c r="J257" s="161">
        <v>54.7</v>
      </c>
      <c r="K257" s="197">
        <v>27921.798999999999</v>
      </c>
      <c r="L257" s="161">
        <v>37</v>
      </c>
    </row>
    <row r="258" spans="1:12">
      <c r="A258" s="193">
        <v>2007</v>
      </c>
      <c r="B258" s="170" t="s">
        <v>316</v>
      </c>
      <c r="C258" s="153"/>
      <c r="D258" s="194" t="s">
        <v>317</v>
      </c>
      <c r="E258" s="161"/>
      <c r="F258" s="195">
        <v>11718.91</v>
      </c>
      <c r="G258" s="195"/>
      <c r="H258" s="161">
        <v>48907</v>
      </c>
      <c r="I258" s="161">
        <v>12473.68</v>
      </c>
      <c r="J258" s="161">
        <v>321.60000000000002</v>
      </c>
      <c r="K258" s="197">
        <v>10987.225</v>
      </c>
      <c r="L258" s="161">
        <v>162</v>
      </c>
    </row>
    <row r="259" spans="1:12">
      <c r="A259" s="193">
        <v>2007</v>
      </c>
      <c r="B259" s="170" t="s">
        <v>318</v>
      </c>
      <c r="C259" s="153"/>
      <c r="D259" s="194" t="s">
        <v>319</v>
      </c>
      <c r="E259" s="161">
        <v>372</v>
      </c>
      <c r="F259" s="195">
        <v>546.29</v>
      </c>
      <c r="G259" s="195"/>
      <c r="H259" s="161">
        <v>51162</v>
      </c>
      <c r="I259" s="161">
        <v>18226.669999999998</v>
      </c>
      <c r="J259" s="161">
        <v>1587.96</v>
      </c>
      <c r="K259" s="197">
        <v>38517.002999999997</v>
      </c>
      <c r="L259" s="161"/>
    </row>
    <row r="260" spans="1:12">
      <c r="A260" s="193">
        <v>2007</v>
      </c>
      <c r="B260" s="170" t="s">
        <v>320</v>
      </c>
      <c r="C260" s="153"/>
      <c r="D260" s="194" t="s">
        <v>321</v>
      </c>
      <c r="E260" s="161"/>
      <c r="F260" s="195">
        <v>89.47</v>
      </c>
      <c r="G260" s="195"/>
      <c r="H260" s="161">
        <v>20</v>
      </c>
      <c r="I260" s="161">
        <v>6.43</v>
      </c>
      <c r="J260" s="161"/>
      <c r="K260" s="197">
        <v>0</v>
      </c>
      <c r="L260" s="161"/>
    </row>
    <row r="261" spans="1:12">
      <c r="A261" s="193">
        <v>2007</v>
      </c>
      <c r="B261" s="170" t="s">
        <v>322</v>
      </c>
      <c r="C261" s="153"/>
      <c r="D261" s="194" t="s">
        <v>323</v>
      </c>
      <c r="E261" s="161"/>
      <c r="F261" s="195"/>
      <c r="G261" s="195"/>
      <c r="H261" s="161">
        <v>0</v>
      </c>
      <c r="I261" s="161">
        <v>0</v>
      </c>
      <c r="J261" s="161"/>
      <c r="K261" s="197">
        <v>0</v>
      </c>
      <c r="L261" s="161"/>
    </row>
    <row r="262" spans="1:12">
      <c r="A262" s="193">
        <v>2007</v>
      </c>
      <c r="B262" s="170" t="s">
        <v>324</v>
      </c>
      <c r="C262" s="153"/>
      <c r="D262" s="194" t="s">
        <v>325</v>
      </c>
      <c r="E262" s="161"/>
      <c r="F262" s="195">
        <v>241.26</v>
      </c>
      <c r="G262" s="195"/>
      <c r="H262" s="161">
        <v>672</v>
      </c>
      <c r="I262" s="161">
        <v>0</v>
      </c>
      <c r="J262" s="161"/>
      <c r="K262" s="197">
        <v>134.75299999999999</v>
      </c>
      <c r="L262" s="161"/>
    </row>
    <row r="263" spans="1:12">
      <c r="A263" s="193">
        <v>2007</v>
      </c>
      <c r="B263" s="170" t="s">
        <v>326</v>
      </c>
      <c r="C263" s="153"/>
      <c r="D263" s="194" t="s">
        <v>327</v>
      </c>
      <c r="E263" s="161"/>
      <c r="F263" s="195"/>
      <c r="G263" s="195"/>
      <c r="H263" s="161">
        <v>0</v>
      </c>
      <c r="I263" s="161">
        <v>28.57</v>
      </c>
      <c r="J263" s="161"/>
      <c r="K263" s="197">
        <v>1</v>
      </c>
      <c r="L263" s="161"/>
    </row>
    <row r="264" spans="1:12">
      <c r="A264" s="193">
        <v>2007</v>
      </c>
      <c r="B264" s="170" t="s">
        <v>328</v>
      </c>
      <c r="C264" s="153"/>
      <c r="D264" s="194" t="s">
        <v>329</v>
      </c>
      <c r="E264" s="161">
        <v>11</v>
      </c>
      <c r="F264" s="195">
        <v>408.36</v>
      </c>
      <c r="G264" s="195"/>
      <c r="H264" s="196">
        <v>17</v>
      </c>
      <c r="I264" s="196">
        <v>199.64</v>
      </c>
      <c r="J264" s="196">
        <v>49.8</v>
      </c>
      <c r="K264" s="197">
        <v>210.703</v>
      </c>
      <c r="L264" s="196"/>
    </row>
    <row r="265" spans="1:12">
      <c r="A265" s="193">
        <v>2007</v>
      </c>
      <c r="B265" s="170" t="s">
        <v>245</v>
      </c>
      <c r="C265" s="153"/>
      <c r="D265" s="194" t="s">
        <v>331</v>
      </c>
      <c r="E265" s="161">
        <v>23</v>
      </c>
      <c r="F265" s="182">
        <v>2229.1799999999998</v>
      </c>
      <c r="G265" s="182"/>
      <c r="H265" s="196">
        <v>2897</v>
      </c>
      <c r="I265" s="196">
        <v>1582.85</v>
      </c>
      <c r="J265" s="196">
        <v>642.63</v>
      </c>
      <c r="K265" s="197">
        <v>4990.0069999999996</v>
      </c>
      <c r="L265" s="196"/>
    </row>
    <row r="266" spans="1:12">
      <c r="A266" s="193">
        <v>2007</v>
      </c>
      <c r="B266" s="170" t="s">
        <v>332</v>
      </c>
      <c r="C266" s="153"/>
      <c r="D266" s="194" t="s">
        <v>333</v>
      </c>
      <c r="E266" s="161"/>
      <c r="F266" s="182"/>
      <c r="G266" s="182"/>
      <c r="H266" s="196">
        <v>0</v>
      </c>
      <c r="I266" s="196">
        <v>0</v>
      </c>
      <c r="J266" s="196"/>
      <c r="K266" s="197">
        <v>0</v>
      </c>
      <c r="L266" s="196"/>
    </row>
    <row r="267" spans="1:12">
      <c r="A267" s="193">
        <v>2007</v>
      </c>
      <c r="B267" s="170" t="s">
        <v>334</v>
      </c>
      <c r="C267" s="153"/>
      <c r="D267" s="194" t="s">
        <v>335</v>
      </c>
      <c r="E267" s="161"/>
      <c r="F267" s="195"/>
      <c r="G267" s="195"/>
      <c r="H267" s="196">
        <v>0</v>
      </c>
      <c r="I267" s="196"/>
      <c r="J267" s="196"/>
      <c r="K267" s="197">
        <v>0</v>
      </c>
      <c r="L267" s="196"/>
    </row>
    <row r="268" spans="1:12">
      <c r="A268" s="193">
        <v>2007</v>
      </c>
      <c r="B268" s="170" t="s">
        <v>336</v>
      </c>
      <c r="C268" s="153"/>
      <c r="D268" s="194" t="s">
        <v>337</v>
      </c>
      <c r="E268" s="161"/>
      <c r="F268" s="195">
        <v>11.99</v>
      </c>
      <c r="G268" s="195"/>
      <c r="H268" s="196">
        <v>0</v>
      </c>
      <c r="I268" s="196">
        <v>0</v>
      </c>
      <c r="J268" s="196"/>
      <c r="K268" s="197">
        <v>23.91</v>
      </c>
      <c r="L268" s="196"/>
    </row>
    <row r="269" spans="1:12">
      <c r="A269" s="224"/>
      <c r="C269" s="153"/>
      <c r="D269" s="117"/>
      <c r="E269" s="152"/>
      <c r="F269" s="235"/>
      <c r="G269" s="235"/>
      <c r="H269" s="236"/>
      <c r="I269" s="236"/>
      <c r="J269" s="236"/>
      <c r="K269" s="237"/>
      <c r="L269" s="236"/>
    </row>
    <row r="270" spans="1:12">
      <c r="A270" s="193">
        <v>2006</v>
      </c>
      <c r="B270" s="170" t="s">
        <v>243</v>
      </c>
      <c r="C270" s="153"/>
      <c r="D270" s="194" t="s">
        <v>257</v>
      </c>
      <c r="E270" s="161"/>
      <c r="F270" s="195">
        <v>9928.14</v>
      </c>
      <c r="G270" s="195"/>
      <c r="H270" s="196">
        <v>16278</v>
      </c>
      <c r="I270" s="196">
        <v>12254.15</v>
      </c>
      <c r="J270" s="196">
        <v>6086.8370000000004</v>
      </c>
      <c r="K270" s="197">
        <v>11680.643</v>
      </c>
      <c r="L270" s="196"/>
    </row>
    <row r="271" spans="1:12">
      <c r="A271" s="193">
        <v>2006</v>
      </c>
      <c r="B271" s="170" t="s">
        <v>258</v>
      </c>
      <c r="C271" s="153"/>
      <c r="D271" s="194" t="s">
        <v>259</v>
      </c>
      <c r="E271" s="161"/>
      <c r="F271" s="195">
        <v>1608.3067363636362</v>
      </c>
      <c r="G271" s="195"/>
      <c r="H271" s="196">
        <v>211</v>
      </c>
      <c r="I271" s="196">
        <v>7.44</v>
      </c>
      <c r="J271" s="196"/>
      <c r="K271" s="197">
        <v>1098.0719999999999</v>
      </c>
      <c r="L271" s="196"/>
    </row>
    <row r="272" spans="1:12">
      <c r="A272" s="193">
        <v>2006</v>
      </c>
      <c r="B272" s="170" t="s">
        <v>260</v>
      </c>
      <c r="C272" s="153"/>
      <c r="D272" s="194" t="s">
        <v>261</v>
      </c>
      <c r="E272" s="161"/>
      <c r="F272" s="195">
        <v>761.24180000000001</v>
      </c>
      <c r="G272" s="195"/>
      <c r="H272" s="196">
        <v>991</v>
      </c>
      <c r="I272" s="196">
        <v>420.74</v>
      </c>
      <c r="J272" s="196">
        <v>3.0190000000000001</v>
      </c>
      <c r="K272" s="197">
        <v>1420.3689999999999</v>
      </c>
      <c r="L272" s="196"/>
    </row>
    <row r="273" spans="1:12">
      <c r="A273" s="193">
        <v>2006</v>
      </c>
      <c r="B273" s="170" t="s">
        <v>262</v>
      </c>
      <c r="C273" s="153"/>
      <c r="D273" s="194" t="s">
        <v>263</v>
      </c>
      <c r="E273" s="161">
        <v>14.63</v>
      </c>
      <c r="F273" s="195">
        <v>383.49966999999998</v>
      </c>
      <c r="G273" s="195"/>
      <c r="H273" s="196">
        <v>1584</v>
      </c>
      <c r="I273" s="196">
        <v>68.81</v>
      </c>
      <c r="J273" s="196"/>
      <c r="K273" s="197">
        <v>413.38499999999999</v>
      </c>
      <c r="L273" s="196">
        <v>1666.5070000000001</v>
      </c>
    </row>
    <row r="274" spans="1:12">
      <c r="A274" s="193">
        <v>2006</v>
      </c>
      <c r="B274" s="170" t="s">
        <v>264</v>
      </c>
      <c r="C274" s="153"/>
      <c r="D274" s="194" t="s">
        <v>265</v>
      </c>
      <c r="E274" s="161"/>
      <c r="F274" s="195">
        <v>2.2671999999999999</v>
      </c>
      <c r="G274" s="195"/>
      <c r="H274" s="161">
        <v>146</v>
      </c>
      <c r="I274" s="161">
        <v>0.7</v>
      </c>
      <c r="J274" s="161"/>
      <c r="K274" s="197">
        <v>53.854999999999997</v>
      </c>
      <c r="L274" s="161">
        <v>2.54</v>
      </c>
    </row>
    <row r="275" spans="1:12">
      <c r="A275" s="193">
        <v>2006</v>
      </c>
      <c r="B275" s="170" t="s">
        <v>266</v>
      </c>
      <c r="C275" s="153"/>
      <c r="D275" s="194" t="s">
        <v>267</v>
      </c>
      <c r="E275" s="161"/>
      <c r="F275" s="195">
        <v>545.82600000000002</v>
      </c>
      <c r="G275" s="195"/>
      <c r="H275" s="161">
        <v>0</v>
      </c>
      <c r="I275" s="161">
        <v>65.81</v>
      </c>
      <c r="J275" s="161">
        <v>0.54</v>
      </c>
      <c r="K275" s="197">
        <v>0</v>
      </c>
      <c r="L275" s="161"/>
    </row>
    <row r="276" spans="1:12">
      <c r="A276" s="193">
        <v>2006</v>
      </c>
      <c r="B276" s="170" t="s">
        <v>268</v>
      </c>
      <c r="C276" s="153"/>
      <c r="D276" s="194" t="s">
        <v>269</v>
      </c>
      <c r="E276" s="161"/>
      <c r="F276" s="195">
        <v>0.21850000000000003</v>
      </c>
      <c r="G276" s="195"/>
      <c r="H276" s="161">
        <v>0</v>
      </c>
      <c r="I276" s="161">
        <v>163</v>
      </c>
      <c r="J276" s="161"/>
      <c r="K276" s="197">
        <v>0</v>
      </c>
      <c r="L276" s="161"/>
    </row>
    <row r="277" spans="1:12">
      <c r="A277" s="193">
        <v>2006</v>
      </c>
      <c r="B277" s="170" t="s">
        <v>271</v>
      </c>
      <c r="C277" s="153"/>
      <c r="D277" s="194" t="s">
        <v>272</v>
      </c>
      <c r="E277" s="161">
        <v>180.52500000000001</v>
      </c>
      <c r="F277" s="195">
        <v>60000</v>
      </c>
      <c r="G277" s="195"/>
      <c r="H277" s="161">
        <v>51770</v>
      </c>
      <c r="I277" s="161">
        <v>654.41999999999996</v>
      </c>
      <c r="J277" s="161">
        <v>4016.0590000000002</v>
      </c>
      <c r="K277" s="197">
        <v>7553.32</v>
      </c>
      <c r="L277" s="161"/>
    </row>
    <row r="278" spans="1:12">
      <c r="A278" s="193">
        <v>2006</v>
      </c>
      <c r="B278" s="170" t="s">
        <v>273</v>
      </c>
      <c r="C278" s="153"/>
      <c r="D278" s="194" t="s">
        <v>274</v>
      </c>
      <c r="E278" s="161">
        <v>971.99800000000005</v>
      </c>
      <c r="F278" s="195">
        <v>106138.9171961039</v>
      </c>
      <c r="G278" s="195"/>
      <c r="H278" s="161">
        <v>80639</v>
      </c>
      <c r="I278" s="161">
        <v>815.04</v>
      </c>
      <c r="J278" s="161">
        <v>5712.3789999999999</v>
      </c>
      <c r="K278" s="197">
        <v>51165.9</v>
      </c>
      <c r="L278" s="161"/>
    </row>
    <row r="279" spans="1:12">
      <c r="A279" s="193">
        <v>2006</v>
      </c>
      <c r="B279" s="170" t="s">
        <v>275</v>
      </c>
      <c r="C279" s="153"/>
      <c r="D279" s="194" t="s">
        <v>276</v>
      </c>
      <c r="E279" s="161">
        <v>71.3</v>
      </c>
      <c r="F279" s="195">
        <v>419.48500000000001</v>
      </c>
      <c r="G279" s="195"/>
      <c r="H279" s="161">
        <v>792</v>
      </c>
      <c r="I279" s="161">
        <v>316.33</v>
      </c>
      <c r="J279" s="161">
        <v>180.74</v>
      </c>
      <c r="K279" s="197">
        <v>1340.143</v>
      </c>
      <c r="L279" s="161">
        <v>13.523999999999999</v>
      </c>
    </row>
    <row r="280" spans="1:12">
      <c r="A280" s="193">
        <v>2006</v>
      </c>
      <c r="B280" s="170" t="s">
        <v>277</v>
      </c>
      <c r="C280" s="153"/>
      <c r="D280" s="194" t="s">
        <v>278</v>
      </c>
      <c r="E280" s="161"/>
      <c r="F280" s="195">
        <v>124.69199999999999</v>
      </c>
      <c r="G280" s="195"/>
      <c r="H280" s="161">
        <v>0</v>
      </c>
      <c r="I280" s="161">
        <v>1347.48</v>
      </c>
      <c r="J280" s="161">
        <v>0.5</v>
      </c>
      <c r="K280" s="197">
        <v>1130.7560000000001</v>
      </c>
      <c r="L280" s="161"/>
    </row>
    <row r="281" spans="1:12">
      <c r="A281" s="193">
        <v>2006</v>
      </c>
      <c r="B281" s="170" t="s">
        <v>201</v>
      </c>
      <c r="C281" s="153"/>
      <c r="D281" s="194" t="s">
        <v>279</v>
      </c>
      <c r="E281" s="161">
        <v>77.06</v>
      </c>
      <c r="F281" s="195">
        <v>15710.007204545454</v>
      </c>
      <c r="G281" s="195"/>
      <c r="H281" s="161">
        <v>7031</v>
      </c>
      <c r="I281" s="161">
        <v>2533.9899999999998</v>
      </c>
      <c r="J281" s="161">
        <v>258.54399999999998</v>
      </c>
      <c r="K281" s="197">
        <v>26631.272000000001</v>
      </c>
      <c r="L281" s="161"/>
    </row>
    <row r="282" spans="1:12">
      <c r="A282" s="193">
        <v>2006</v>
      </c>
      <c r="B282" s="170" t="s">
        <v>203</v>
      </c>
      <c r="C282" s="153"/>
      <c r="D282" s="194" t="s">
        <v>280</v>
      </c>
      <c r="E282" s="161"/>
      <c r="F282" s="195">
        <v>3603.5119772727271</v>
      </c>
      <c r="G282" s="195"/>
      <c r="H282" s="161">
        <v>1159</v>
      </c>
      <c r="I282" s="161">
        <v>721.59</v>
      </c>
      <c r="J282" s="161"/>
      <c r="K282" s="197">
        <v>7406.8519999999999</v>
      </c>
      <c r="L282" s="161"/>
    </row>
    <row r="283" spans="1:12">
      <c r="A283" s="193">
        <v>2006</v>
      </c>
      <c r="B283" s="170" t="s">
        <v>281</v>
      </c>
      <c r="C283" s="153"/>
      <c r="D283" s="194" t="s">
        <v>282</v>
      </c>
      <c r="E283" s="161">
        <v>9.4120000000000008</v>
      </c>
      <c r="F283" s="195">
        <v>817.06257545454616</v>
      </c>
      <c r="G283" s="195"/>
      <c r="H283" s="161">
        <v>812</v>
      </c>
      <c r="I283" s="196">
        <v>1473.66</v>
      </c>
      <c r="J283" s="196"/>
      <c r="K283" s="197">
        <v>360.67</v>
      </c>
      <c r="L283" s="196"/>
    </row>
    <row r="284" spans="1:12">
      <c r="A284" s="193">
        <v>2006</v>
      </c>
      <c r="B284" s="170" t="s">
        <v>283</v>
      </c>
      <c r="C284" s="153"/>
      <c r="D284" s="194" t="s">
        <v>284</v>
      </c>
      <c r="E284" s="161"/>
      <c r="F284" s="195"/>
      <c r="G284" s="195"/>
      <c r="H284" s="196">
        <v>613</v>
      </c>
      <c r="I284" s="196">
        <v>0</v>
      </c>
      <c r="J284" s="196"/>
      <c r="K284" s="197">
        <v>1E-3</v>
      </c>
      <c r="L284" s="196"/>
    </row>
    <row r="285" spans="1:12">
      <c r="A285" s="193">
        <v>2006</v>
      </c>
      <c r="B285" s="170" t="s">
        <v>285</v>
      </c>
      <c r="C285" s="153"/>
      <c r="D285" s="194" t="s">
        <v>286</v>
      </c>
      <c r="E285" s="161">
        <v>45.5</v>
      </c>
      <c r="F285" s="195">
        <v>742.81919000000005</v>
      </c>
      <c r="G285" s="195"/>
      <c r="H285" s="196">
        <v>232</v>
      </c>
      <c r="I285" s="196">
        <v>158.5</v>
      </c>
      <c r="J285" s="196">
        <v>5.56</v>
      </c>
      <c r="K285" s="197">
        <v>4122.9849999999997</v>
      </c>
      <c r="L285" s="196"/>
    </row>
    <row r="286" spans="1:12">
      <c r="A286" s="193">
        <v>2006</v>
      </c>
      <c r="B286" s="170" t="s">
        <v>287</v>
      </c>
      <c r="C286" s="153"/>
      <c r="D286" s="194" t="s">
        <v>288</v>
      </c>
      <c r="E286" s="161"/>
      <c r="F286" s="195">
        <v>244.70181818181817</v>
      </c>
      <c r="G286" s="195"/>
      <c r="H286" s="196">
        <v>4147</v>
      </c>
      <c r="I286" s="196">
        <v>345.11</v>
      </c>
      <c r="J286" s="196"/>
      <c r="K286" s="197">
        <v>10515.383</v>
      </c>
      <c r="L286" s="196">
        <v>137.97900000000001</v>
      </c>
    </row>
    <row r="287" spans="1:12">
      <c r="A287" s="193">
        <v>2006</v>
      </c>
      <c r="B287" s="170" t="s">
        <v>289</v>
      </c>
      <c r="C287" s="153"/>
      <c r="D287" s="194" t="s">
        <v>290</v>
      </c>
      <c r="E287" s="161"/>
      <c r="F287" s="195">
        <v>6783.9727272727278</v>
      </c>
      <c r="G287" s="195"/>
      <c r="H287" s="196">
        <v>85717</v>
      </c>
      <c r="I287" s="196">
        <v>34593.79</v>
      </c>
      <c r="J287" s="196">
        <v>206</v>
      </c>
      <c r="K287" s="197">
        <v>12176.135</v>
      </c>
      <c r="L287" s="196"/>
    </row>
    <row r="288" spans="1:12">
      <c r="A288" s="193">
        <v>2006</v>
      </c>
      <c r="B288" s="170" t="s">
        <v>291</v>
      </c>
      <c r="C288" s="153"/>
      <c r="D288" s="194" t="s">
        <v>292</v>
      </c>
      <c r="E288" s="161"/>
      <c r="F288" s="195"/>
      <c r="G288" s="195"/>
      <c r="H288" s="196">
        <v>0</v>
      </c>
      <c r="I288" s="196">
        <v>0</v>
      </c>
      <c r="J288" s="196"/>
      <c r="K288" s="197">
        <v>0</v>
      </c>
      <c r="L288" s="196"/>
    </row>
    <row r="289" spans="1:12">
      <c r="A289" s="193">
        <v>2006</v>
      </c>
      <c r="B289" s="170" t="s">
        <v>294</v>
      </c>
      <c r="C289" s="153"/>
      <c r="D289" s="194" t="s">
        <v>295</v>
      </c>
      <c r="E289" s="161"/>
      <c r="F289" s="161"/>
      <c r="G289" s="161"/>
      <c r="H289" s="196">
        <v>0.2</v>
      </c>
      <c r="I289" s="196">
        <v>0.81</v>
      </c>
      <c r="J289" s="196"/>
      <c r="K289" s="197">
        <v>3.5000000000000003E-2</v>
      </c>
      <c r="L289" s="196">
        <v>3.1</v>
      </c>
    </row>
    <row r="290" spans="1:12">
      <c r="A290" s="193">
        <v>2006</v>
      </c>
      <c r="B290" s="170" t="s">
        <v>296</v>
      </c>
      <c r="C290" s="153"/>
      <c r="D290" s="194" t="s">
        <v>297</v>
      </c>
      <c r="E290" s="161"/>
      <c r="F290" s="195">
        <v>1468.4275</v>
      </c>
      <c r="G290" s="195"/>
      <c r="H290" s="196">
        <v>295</v>
      </c>
      <c r="I290" s="196">
        <v>84.1</v>
      </c>
      <c r="J290" s="196"/>
      <c r="K290" s="197">
        <v>888.86</v>
      </c>
      <c r="L290" s="196">
        <v>35.51</v>
      </c>
    </row>
    <row r="291" spans="1:12">
      <c r="A291" s="193">
        <v>2006</v>
      </c>
      <c r="B291" s="170" t="s">
        <v>171</v>
      </c>
      <c r="C291" s="153"/>
      <c r="D291" s="194" t="s">
        <v>298</v>
      </c>
      <c r="E291" s="161"/>
      <c r="F291" s="195">
        <v>10.209090909090909</v>
      </c>
      <c r="G291" s="195"/>
      <c r="H291" s="196">
        <v>917</v>
      </c>
      <c r="I291" s="196">
        <v>1518.09</v>
      </c>
      <c r="J291" s="196"/>
      <c r="K291" s="197">
        <v>69.253</v>
      </c>
      <c r="L291" s="196">
        <v>15.4</v>
      </c>
    </row>
    <row r="292" spans="1:12">
      <c r="A292" s="193">
        <v>2006</v>
      </c>
      <c r="B292" s="170" t="s">
        <v>213</v>
      </c>
      <c r="C292" s="153"/>
      <c r="D292" s="194" t="s">
        <v>299</v>
      </c>
      <c r="E292" s="161"/>
      <c r="F292" s="195">
        <v>4326.2357000000002</v>
      </c>
      <c r="G292" s="195"/>
      <c r="H292" s="196">
        <v>1396</v>
      </c>
      <c r="I292" s="196">
        <v>4693.03</v>
      </c>
      <c r="J292" s="196"/>
      <c r="K292" s="197">
        <v>11821.344999999999</v>
      </c>
      <c r="L292" s="196"/>
    </row>
    <row r="293" spans="1:12">
      <c r="A293" s="193">
        <v>2006</v>
      </c>
      <c r="B293" s="170" t="s">
        <v>300</v>
      </c>
      <c r="C293" s="153"/>
      <c r="D293" s="194" t="s">
        <v>301</v>
      </c>
      <c r="E293" s="161"/>
      <c r="F293" s="195">
        <v>239.85749999999999</v>
      </c>
      <c r="G293" s="195"/>
      <c r="H293" s="196">
        <v>132</v>
      </c>
      <c r="I293" s="196">
        <v>0</v>
      </c>
      <c r="J293" s="196"/>
      <c r="K293" s="197">
        <v>16.192</v>
      </c>
      <c r="L293" s="196">
        <v>11.2</v>
      </c>
    </row>
    <row r="294" spans="1:12">
      <c r="A294" s="193">
        <v>2006</v>
      </c>
      <c r="B294" s="170" t="s">
        <v>206</v>
      </c>
      <c r="C294" s="153"/>
      <c r="D294" s="194" t="s">
        <v>302</v>
      </c>
      <c r="E294" s="161"/>
      <c r="F294" s="195">
        <v>1503.04</v>
      </c>
      <c r="G294" s="195"/>
      <c r="H294" s="196">
        <v>0</v>
      </c>
      <c r="I294" s="196">
        <v>1414.5</v>
      </c>
      <c r="J294" s="196"/>
      <c r="K294" s="197">
        <v>23.16</v>
      </c>
      <c r="L294" s="196"/>
    </row>
    <row r="295" spans="1:12">
      <c r="A295" s="193">
        <v>2006</v>
      </c>
      <c r="B295" s="170" t="s">
        <v>189</v>
      </c>
      <c r="C295" s="153"/>
      <c r="D295" s="194" t="s">
        <v>303</v>
      </c>
      <c r="E295" s="161"/>
      <c r="F295" s="195">
        <v>114.34</v>
      </c>
      <c r="G295" s="195"/>
      <c r="H295" s="161">
        <v>167</v>
      </c>
      <c r="I295" s="161">
        <v>2.99</v>
      </c>
      <c r="J295" s="196"/>
      <c r="K295" s="197">
        <v>3.8370000000000002</v>
      </c>
      <c r="L295" s="161">
        <v>8.8000000000000007</v>
      </c>
    </row>
    <row r="296" spans="1:12">
      <c r="A296" s="193">
        <v>2006</v>
      </c>
      <c r="B296" s="170" t="s">
        <v>304</v>
      </c>
      <c r="C296" s="153"/>
      <c r="D296" s="194" t="s">
        <v>305</v>
      </c>
      <c r="E296" s="161"/>
      <c r="F296" s="195"/>
      <c r="G296" s="195"/>
      <c r="H296" s="161">
        <v>0</v>
      </c>
      <c r="I296" s="161">
        <v>0</v>
      </c>
      <c r="J296" s="161"/>
      <c r="K296" s="197">
        <v>0.64</v>
      </c>
      <c r="L296" s="161"/>
    </row>
    <row r="297" spans="1:12">
      <c r="A297" s="193">
        <v>2006</v>
      </c>
      <c r="B297" s="170" t="s">
        <v>306</v>
      </c>
      <c r="C297" s="153"/>
      <c r="D297" s="194" t="s">
        <v>307</v>
      </c>
      <c r="E297" s="161"/>
      <c r="F297" s="195"/>
      <c r="G297" s="195"/>
      <c r="H297" s="161">
        <v>0</v>
      </c>
      <c r="I297" s="161">
        <v>0</v>
      </c>
      <c r="J297" s="161"/>
      <c r="K297" s="197">
        <v>0</v>
      </c>
      <c r="L297" s="161"/>
    </row>
    <row r="298" spans="1:12">
      <c r="A298" s="193">
        <v>2006</v>
      </c>
      <c r="B298" s="170" t="s">
        <v>195</v>
      </c>
      <c r="C298" s="153"/>
      <c r="D298" s="194" t="s">
        <v>308</v>
      </c>
      <c r="E298" s="161">
        <v>8.0645000000000007</v>
      </c>
      <c r="F298" s="195">
        <v>124.94400000000002</v>
      </c>
      <c r="G298" s="195"/>
      <c r="H298" s="161">
        <v>35</v>
      </c>
      <c r="I298" s="161">
        <v>30.91</v>
      </c>
      <c r="J298" s="161"/>
      <c r="K298" s="197">
        <v>183.92099999999999</v>
      </c>
      <c r="L298" s="161"/>
    </row>
    <row r="299" spans="1:12">
      <c r="A299" s="193">
        <v>2006</v>
      </c>
      <c r="B299" s="170" t="s">
        <v>309</v>
      </c>
      <c r="C299" s="153"/>
      <c r="D299" s="194" t="s">
        <v>310</v>
      </c>
      <c r="E299" s="161"/>
      <c r="F299" s="195"/>
      <c r="G299" s="195"/>
      <c r="H299" s="161">
        <v>0</v>
      </c>
      <c r="I299" s="161">
        <v>0</v>
      </c>
      <c r="J299" s="161"/>
      <c r="K299" s="197">
        <v>0</v>
      </c>
      <c r="L299" s="161"/>
    </row>
    <row r="300" spans="1:12">
      <c r="A300" s="193">
        <v>2006</v>
      </c>
      <c r="B300" s="170" t="s">
        <v>187</v>
      </c>
      <c r="C300" s="153"/>
      <c r="D300" s="194" t="s">
        <v>311</v>
      </c>
      <c r="E300" s="161"/>
      <c r="F300" s="195">
        <v>25498.716100000016</v>
      </c>
      <c r="G300" s="195"/>
      <c r="H300" s="161">
        <v>14932</v>
      </c>
      <c r="I300" s="161">
        <v>5714.98</v>
      </c>
      <c r="J300" s="161"/>
      <c r="K300" s="197">
        <v>6441.2129999999997</v>
      </c>
      <c r="L300" s="161">
        <v>168.33099999999999</v>
      </c>
    </row>
    <row r="301" spans="1:12">
      <c r="A301" s="193">
        <v>2006</v>
      </c>
      <c r="B301" s="170" t="s">
        <v>198</v>
      </c>
      <c r="C301" s="153"/>
      <c r="D301" s="194" t="s">
        <v>312</v>
      </c>
      <c r="E301" s="161"/>
      <c r="F301" s="195">
        <v>39.520000000000003</v>
      </c>
      <c r="G301" s="195"/>
      <c r="H301" s="161">
        <v>8780</v>
      </c>
      <c r="I301" s="161">
        <v>0</v>
      </c>
      <c r="J301" s="161"/>
      <c r="K301" s="197">
        <v>5.57</v>
      </c>
      <c r="L301" s="161"/>
    </row>
    <row r="302" spans="1:12">
      <c r="A302" s="193">
        <v>2006</v>
      </c>
      <c r="B302" s="170" t="s">
        <v>153</v>
      </c>
      <c r="C302" s="153"/>
      <c r="D302" s="194" t="s">
        <v>313</v>
      </c>
      <c r="E302" s="161"/>
      <c r="F302" s="195">
        <v>0.33950000000000002</v>
      </c>
      <c r="G302" s="195"/>
      <c r="H302" s="161">
        <v>8</v>
      </c>
      <c r="I302" s="161">
        <v>4.45</v>
      </c>
      <c r="J302" s="161"/>
      <c r="K302" s="197">
        <v>9.6170000000000009</v>
      </c>
      <c r="L302" s="161"/>
    </row>
    <row r="303" spans="1:12">
      <c r="A303" s="193">
        <v>2006</v>
      </c>
      <c r="B303" s="170" t="s">
        <v>314</v>
      </c>
      <c r="C303" s="153"/>
      <c r="D303" s="194" t="s">
        <v>315</v>
      </c>
      <c r="E303" s="161">
        <v>23.814</v>
      </c>
      <c r="F303" s="195">
        <v>22087.677209545454</v>
      </c>
      <c r="G303" s="195"/>
      <c r="H303" s="161">
        <v>13646</v>
      </c>
      <c r="I303" s="161">
        <v>4989.1000000000004</v>
      </c>
      <c r="J303" s="161">
        <v>324</v>
      </c>
      <c r="K303" s="197">
        <v>27431.589</v>
      </c>
      <c r="L303" s="161"/>
    </row>
    <row r="304" spans="1:12">
      <c r="A304" s="193">
        <v>2006</v>
      </c>
      <c r="B304" s="170" t="s">
        <v>316</v>
      </c>
      <c r="C304" s="153"/>
      <c r="D304" s="194" t="s">
        <v>317</v>
      </c>
      <c r="E304" s="161">
        <v>222.84299999999999</v>
      </c>
      <c r="F304" s="195">
        <v>23458.240152727274</v>
      </c>
      <c r="G304" s="195"/>
      <c r="H304" s="161">
        <v>47493</v>
      </c>
      <c r="I304" s="161">
        <v>8880.85</v>
      </c>
      <c r="J304" s="161">
        <v>590.10400000000004</v>
      </c>
      <c r="K304" s="197">
        <v>11558.151</v>
      </c>
      <c r="L304" s="161"/>
    </row>
    <row r="305" spans="1:12">
      <c r="A305" s="193">
        <v>2006</v>
      </c>
      <c r="B305" s="170" t="s">
        <v>318</v>
      </c>
      <c r="C305" s="153"/>
      <c r="D305" s="194" t="s">
        <v>319</v>
      </c>
      <c r="E305" s="161"/>
      <c r="F305" s="195">
        <v>4914.4550000000008</v>
      </c>
      <c r="G305" s="195"/>
      <c r="H305" s="161">
        <v>186857</v>
      </c>
      <c r="I305" s="161">
        <v>12836.15</v>
      </c>
      <c r="J305" s="161">
        <v>1956.9179999999999</v>
      </c>
      <c r="K305" s="197">
        <v>39224.915000000001</v>
      </c>
      <c r="L305" s="161"/>
    </row>
    <row r="306" spans="1:12">
      <c r="A306" s="193">
        <v>2006</v>
      </c>
      <c r="B306" s="170" t="s">
        <v>320</v>
      </c>
      <c r="C306" s="153"/>
      <c r="D306" s="194" t="s">
        <v>321</v>
      </c>
      <c r="E306" s="161">
        <v>0.58750000000000002</v>
      </c>
      <c r="F306" s="195">
        <v>400.25549999999998</v>
      </c>
      <c r="G306" s="195"/>
      <c r="H306" s="161">
        <v>56</v>
      </c>
      <c r="I306" s="161">
        <v>29.8</v>
      </c>
      <c r="J306" s="161"/>
      <c r="K306" s="197">
        <v>0</v>
      </c>
      <c r="L306" s="161">
        <v>10.24</v>
      </c>
    </row>
    <row r="307" spans="1:12">
      <c r="A307" s="193">
        <v>2006</v>
      </c>
      <c r="B307" s="170" t="s">
        <v>322</v>
      </c>
      <c r="C307" s="153"/>
      <c r="D307" s="194" t="s">
        <v>323</v>
      </c>
      <c r="E307" s="161"/>
      <c r="F307" s="195"/>
      <c r="G307" s="195"/>
      <c r="H307" s="161">
        <v>0</v>
      </c>
      <c r="I307" s="161">
        <v>0.04</v>
      </c>
      <c r="J307" s="161"/>
      <c r="K307" s="197">
        <v>0</v>
      </c>
      <c r="L307" s="161"/>
    </row>
    <row r="308" spans="1:12">
      <c r="A308" s="193">
        <v>2006</v>
      </c>
      <c r="B308" s="170" t="s">
        <v>324</v>
      </c>
      <c r="C308" s="153"/>
      <c r="D308" s="194" t="s">
        <v>325</v>
      </c>
      <c r="E308" s="161"/>
      <c r="F308" s="195">
        <v>631.84895000000006</v>
      </c>
      <c r="G308" s="195"/>
      <c r="H308" s="161">
        <v>1170</v>
      </c>
      <c r="I308" s="161">
        <v>5.22</v>
      </c>
      <c r="J308" s="161"/>
      <c r="K308" s="197">
        <v>215.47</v>
      </c>
      <c r="L308" s="161"/>
    </row>
    <row r="309" spans="1:12">
      <c r="A309" s="193">
        <v>2006</v>
      </c>
      <c r="B309" s="170" t="s">
        <v>326</v>
      </c>
      <c r="C309" s="153"/>
      <c r="D309" s="194" t="s">
        <v>327</v>
      </c>
      <c r="E309" s="161"/>
      <c r="F309" s="195">
        <v>0</v>
      </c>
      <c r="G309" s="195"/>
      <c r="H309" s="196">
        <v>0</v>
      </c>
      <c r="I309" s="196">
        <v>21.08</v>
      </c>
      <c r="J309" s="196">
        <v>56.787999999999997</v>
      </c>
      <c r="K309" s="197">
        <v>3.1019999999999999</v>
      </c>
      <c r="L309" s="196"/>
    </row>
    <row r="310" spans="1:12">
      <c r="A310" s="193">
        <v>2006</v>
      </c>
      <c r="B310" s="170" t="s">
        <v>328</v>
      </c>
      <c r="C310" s="153"/>
      <c r="D310" s="194" t="s">
        <v>329</v>
      </c>
      <c r="E310" s="161">
        <v>2.7208100000000002</v>
      </c>
      <c r="F310" s="182">
        <v>1208.8293363636365</v>
      </c>
      <c r="G310" s="182"/>
      <c r="H310" s="196">
        <v>29</v>
      </c>
      <c r="I310" s="196">
        <v>463.99</v>
      </c>
      <c r="J310" s="196">
        <v>33.799999999999997</v>
      </c>
      <c r="K310" s="197">
        <v>337.78899999999999</v>
      </c>
      <c r="L310" s="196"/>
    </row>
    <row r="311" spans="1:12">
      <c r="A311" s="193">
        <v>2006</v>
      </c>
      <c r="B311" s="170" t="s">
        <v>245</v>
      </c>
      <c r="C311" s="153"/>
      <c r="D311" s="194" t="s">
        <v>331</v>
      </c>
      <c r="E311" s="161">
        <v>57.17</v>
      </c>
      <c r="F311" s="182">
        <v>1156.9683545454545</v>
      </c>
      <c r="G311" s="182"/>
      <c r="H311" s="196">
        <v>1895</v>
      </c>
      <c r="I311" s="196">
        <v>1489.59</v>
      </c>
      <c r="J311" s="196">
        <v>430.86599999999999</v>
      </c>
      <c r="K311" s="197">
        <v>5187.0150000000003</v>
      </c>
      <c r="L311" s="196"/>
    </row>
    <row r="312" spans="1:12">
      <c r="A312" s="193">
        <v>2006</v>
      </c>
      <c r="B312" s="170" t="s">
        <v>332</v>
      </c>
      <c r="C312" s="153"/>
      <c r="D312" s="194" t="s">
        <v>333</v>
      </c>
      <c r="E312" s="161"/>
      <c r="F312" s="195"/>
      <c r="G312" s="195"/>
      <c r="H312" s="196">
        <v>0</v>
      </c>
      <c r="I312" s="196">
        <v>0</v>
      </c>
      <c r="J312" s="196"/>
      <c r="K312" s="197">
        <v>0</v>
      </c>
      <c r="L312" s="196"/>
    </row>
    <row r="313" spans="1:12">
      <c r="A313" s="193">
        <v>2006</v>
      </c>
      <c r="B313" s="170" t="s">
        <v>334</v>
      </c>
      <c r="C313" s="153"/>
      <c r="D313" s="194" t="s">
        <v>335</v>
      </c>
      <c r="E313" s="161"/>
      <c r="F313" s="195"/>
      <c r="G313" s="195"/>
      <c r="H313" s="196">
        <v>0</v>
      </c>
      <c r="I313" s="196">
        <v>0</v>
      </c>
      <c r="J313" s="196"/>
      <c r="K313" s="197">
        <v>0</v>
      </c>
      <c r="L313" s="196"/>
    </row>
    <row r="314" spans="1:12">
      <c r="A314" s="193">
        <v>2006</v>
      </c>
      <c r="B314" s="170" t="s">
        <v>336</v>
      </c>
      <c r="C314" s="153"/>
      <c r="D314" s="194" t="s">
        <v>337</v>
      </c>
      <c r="E314" s="161"/>
      <c r="F314" s="195">
        <v>12.376999999999994</v>
      </c>
      <c r="G314" s="195"/>
      <c r="H314" s="196">
        <v>0</v>
      </c>
      <c r="I314" s="196">
        <v>0</v>
      </c>
      <c r="J314" s="196"/>
      <c r="K314" s="197">
        <v>33.762999999999998</v>
      </c>
      <c r="L314" s="196"/>
    </row>
    <row r="315" spans="1:12">
      <c r="A315" s="224"/>
      <c r="C315" s="153"/>
      <c r="D315" s="117"/>
      <c r="E315" s="152"/>
      <c r="F315" s="235"/>
      <c r="G315" s="235"/>
      <c r="H315" s="236"/>
      <c r="I315" s="236"/>
      <c r="J315" s="236"/>
      <c r="K315" s="237"/>
      <c r="L315" s="236"/>
    </row>
  </sheetData>
  <mergeCells count="4">
    <mergeCell ref="V5:AC5"/>
    <mergeCell ref="N85:O85"/>
    <mergeCell ref="N104:O104"/>
    <mergeCell ref="N132:O132"/>
  </mergeCells>
  <printOptions horizontalCentered="1"/>
  <pageMargins left="0.23" right="0.24" top="0.43307086614173229" bottom="0.47244094488188981" header="0.23622047244094491" footer="0.23622047244094491"/>
  <pageSetup paperSize="8" scale="80" firstPageNumber="15" orientation="landscape" useFirstPageNumber="1" r:id="rId1"/>
  <headerFooter alignWithMargins="0">
    <oddFooter>&amp;C&amp;"Times New Roman,Regular"&amp;12&amp;P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9BBD42-A6E2-7042-A94C-0AA8C7C9FE20}">
  <sheetPr filterMode="1">
    <tabColor theme="9" tint="-0.499984740745262"/>
  </sheetPr>
  <dimension ref="A1:R1168"/>
  <sheetViews>
    <sheetView zoomScale="90" zoomScaleNormal="90" workbookViewId="0">
      <pane ySplit="4" topLeftCell="A5" activePane="bottomLeft" state="frozen"/>
      <selection pane="bottomLeft" activeCell="A5" sqref="A5"/>
    </sheetView>
  </sheetViews>
  <sheetFormatPr defaultColWidth="7.7109375" defaultRowHeight="12.75"/>
  <cols>
    <col min="1" max="1" width="2.28515625" style="238" customWidth="1"/>
    <col min="2" max="2" width="13.42578125" style="238" customWidth="1"/>
    <col min="3" max="3" width="9.7109375" style="238" bestFit="1" customWidth="1"/>
    <col min="4" max="4" width="7" style="238" bestFit="1" customWidth="1"/>
    <col min="5" max="5" width="26.7109375" style="238" bestFit="1" customWidth="1"/>
    <col min="6" max="6" width="9.28515625" style="238" customWidth="1"/>
    <col min="7" max="14" width="8.42578125" style="238" customWidth="1"/>
    <col min="15" max="16" width="7.140625" style="238" customWidth="1"/>
    <col min="17" max="17" width="9.7109375" style="238" bestFit="1" customWidth="1"/>
    <col min="18" max="16384" width="7.7109375" style="238"/>
  </cols>
  <sheetData>
    <row r="1" spans="1:15" s="106" customFormat="1" ht="21">
      <c r="A1" s="105" t="s">
        <v>734</v>
      </c>
      <c r="D1" s="107"/>
      <c r="E1" s="108"/>
      <c r="F1" s="109"/>
      <c r="O1" s="250"/>
    </row>
    <row r="2" spans="1:15" s="110" customFormat="1">
      <c r="B2" s="112" t="s">
        <v>139</v>
      </c>
      <c r="C2" s="110" t="s">
        <v>735</v>
      </c>
      <c r="E2" s="111"/>
      <c r="O2" s="251"/>
    </row>
    <row r="3" spans="1:15" s="110" customFormat="1">
      <c r="B3" s="112" t="s">
        <v>144</v>
      </c>
      <c r="C3" s="110" t="s">
        <v>736</v>
      </c>
      <c r="E3" s="111"/>
      <c r="O3" s="251"/>
    </row>
    <row r="4" spans="1:15" ht="6.75" customHeight="1"/>
    <row r="5" spans="1:15" s="689" customFormat="1" ht="15.75">
      <c r="A5" s="687"/>
      <c r="B5" s="688" t="s">
        <v>346</v>
      </c>
      <c r="C5" s="688"/>
      <c r="D5" s="688"/>
      <c r="E5" s="688"/>
      <c r="F5" s="688"/>
      <c r="G5" s="688"/>
      <c r="H5" s="688"/>
      <c r="I5" s="688"/>
      <c r="J5" s="688"/>
      <c r="K5" s="688"/>
      <c r="L5" s="688"/>
      <c r="M5" s="688"/>
      <c r="N5" s="688"/>
    </row>
    <row r="6" spans="1:15">
      <c r="B6" s="238" t="s">
        <v>107</v>
      </c>
      <c r="G6" s="238" t="s">
        <v>347</v>
      </c>
    </row>
    <row r="7" spans="1:15">
      <c r="B7" s="238" t="s">
        <v>348</v>
      </c>
      <c r="D7" s="239" t="s">
        <v>349</v>
      </c>
      <c r="E7" s="239" t="s">
        <v>350</v>
      </c>
      <c r="F7" s="239"/>
      <c r="G7" s="240" t="s">
        <v>86</v>
      </c>
      <c r="H7" s="240" t="s">
        <v>83</v>
      </c>
      <c r="I7" s="240" t="s">
        <v>82</v>
      </c>
      <c r="J7" s="240" t="s">
        <v>81</v>
      </c>
      <c r="K7" s="240" t="s">
        <v>80</v>
      </c>
      <c r="L7" s="240" t="s">
        <v>79</v>
      </c>
      <c r="M7" s="240" t="s">
        <v>78</v>
      </c>
      <c r="N7" s="238" t="s">
        <v>351</v>
      </c>
    </row>
    <row r="8" spans="1:15">
      <c r="D8" s="238" t="s">
        <v>157</v>
      </c>
      <c r="E8" s="238" t="s">
        <v>352</v>
      </c>
      <c r="G8" s="241">
        <f t="shared" ref="G8:M22" ca="1" si="0">SUMIF($F$172:$O$1011,(CONCATENATE(G$7," - ",$E8)),$G$172:$G$1011)</f>
        <v>18.84</v>
      </c>
      <c r="H8" s="241">
        <f t="shared" ca="1" si="0"/>
        <v>0.75</v>
      </c>
      <c r="I8" s="241">
        <f t="shared" ca="1" si="0"/>
        <v>2.19</v>
      </c>
      <c r="J8" s="241">
        <f t="shared" ca="1" si="0"/>
        <v>2.76</v>
      </c>
      <c r="K8" s="241">
        <f t="shared" ca="1" si="0"/>
        <v>45.56</v>
      </c>
      <c r="L8" s="241">
        <f t="shared" ca="1" si="0"/>
        <v>0</v>
      </c>
      <c r="M8" s="241">
        <f t="shared" ca="1" si="0"/>
        <v>22</v>
      </c>
      <c r="N8" s="241">
        <f t="shared" ref="N8:N22" ca="1" si="1">SUM(G8:M8)</f>
        <v>92.1</v>
      </c>
    </row>
    <row r="9" spans="1:15">
      <c r="D9" s="238" t="s">
        <v>186</v>
      </c>
      <c r="E9" s="238" t="s">
        <v>353</v>
      </c>
      <c r="G9" s="241">
        <f t="shared" ca="1" si="0"/>
        <v>481.95</v>
      </c>
      <c r="H9" s="241">
        <f t="shared" ca="1" si="0"/>
        <v>371.26</v>
      </c>
      <c r="I9" s="241">
        <f t="shared" ca="1" si="0"/>
        <v>459.68</v>
      </c>
      <c r="J9" s="241">
        <f t="shared" ca="1" si="0"/>
        <v>284.56</v>
      </c>
      <c r="K9" s="241">
        <f t="shared" ca="1" si="0"/>
        <v>264.44</v>
      </c>
      <c r="L9" s="241">
        <f t="shared" ca="1" si="0"/>
        <v>569.9</v>
      </c>
      <c r="M9" s="241">
        <f t="shared" ca="1" si="0"/>
        <v>1330.19</v>
      </c>
      <c r="N9" s="241">
        <f t="shared" ca="1" si="1"/>
        <v>3761.98</v>
      </c>
    </row>
    <row r="10" spans="1:15">
      <c r="D10" s="238" t="s">
        <v>247</v>
      </c>
      <c r="E10" s="238" t="s">
        <v>354</v>
      </c>
      <c r="G10" s="241">
        <f t="shared" ca="1" si="0"/>
        <v>1481.64</v>
      </c>
      <c r="H10" s="241">
        <f t="shared" ca="1" si="0"/>
        <v>1892.03</v>
      </c>
      <c r="I10" s="241">
        <f t="shared" ca="1" si="0"/>
        <v>736.12</v>
      </c>
      <c r="J10" s="241">
        <f t="shared" ca="1" si="0"/>
        <v>550.70000000000005</v>
      </c>
      <c r="K10" s="241">
        <f t="shared" ca="1" si="0"/>
        <v>11668.56</v>
      </c>
      <c r="L10" s="241">
        <f t="shared" ca="1" si="0"/>
        <v>539.70000000000005</v>
      </c>
      <c r="M10" s="241">
        <f t="shared" ca="1" si="0"/>
        <v>228.96</v>
      </c>
      <c r="N10" s="241">
        <f t="shared" ca="1" si="1"/>
        <v>17097.71</v>
      </c>
    </row>
    <row r="11" spans="1:15">
      <c r="D11" s="238" t="s">
        <v>159</v>
      </c>
      <c r="E11" s="238" t="s">
        <v>355</v>
      </c>
      <c r="G11" s="241">
        <f t="shared" ca="1" si="0"/>
        <v>11742.63</v>
      </c>
      <c r="H11" s="241">
        <f t="shared" ca="1" si="0"/>
        <v>17392.02</v>
      </c>
      <c r="I11" s="241">
        <f t="shared" ca="1" si="0"/>
        <v>18631.589999999997</v>
      </c>
      <c r="J11" s="241">
        <f t="shared" ca="1" si="0"/>
        <v>14531.13</v>
      </c>
      <c r="K11" s="241">
        <f t="shared" ca="1" si="0"/>
        <v>18809.949999999997</v>
      </c>
      <c r="L11" s="241">
        <f t="shared" ca="1" si="0"/>
        <v>19277.43</v>
      </c>
      <c r="M11" s="241">
        <f t="shared" ca="1" si="0"/>
        <v>30795.230000000003</v>
      </c>
      <c r="N11" s="241">
        <f t="shared" ca="1" si="1"/>
        <v>131179.98000000001</v>
      </c>
    </row>
    <row r="12" spans="1:15">
      <c r="D12" s="238" t="s">
        <v>356</v>
      </c>
      <c r="E12" s="238" t="s">
        <v>357</v>
      </c>
      <c r="G12" s="241">
        <f t="shared" ca="1" si="0"/>
        <v>7.64</v>
      </c>
      <c r="H12" s="241">
        <f t="shared" ca="1" si="0"/>
        <v>11.51</v>
      </c>
      <c r="I12" s="241">
        <f t="shared" ca="1" si="0"/>
        <v>3.1399999999999997</v>
      </c>
      <c r="J12" s="241">
        <f t="shared" ca="1" si="0"/>
        <v>0</v>
      </c>
      <c r="K12" s="241">
        <f t="shared" ca="1" si="0"/>
        <v>1.79</v>
      </c>
      <c r="L12" s="241">
        <f t="shared" ca="1" si="0"/>
        <v>0</v>
      </c>
      <c r="M12" s="241">
        <f t="shared" ca="1" si="0"/>
        <v>24.69</v>
      </c>
      <c r="N12" s="241">
        <f t="shared" ca="1" si="1"/>
        <v>48.769999999999996</v>
      </c>
    </row>
    <row r="13" spans="1:15">
      <c r="D13" s="238" t="s">
        <v>161</v>
      </c>
      <c r="E13" s="238" t="s">
        <v>358</v>
      </c>
      <c r="G13" s="241">
        <f t="shared" ca="1" si="0"/>
        <v>2975.7799999999997</v>
      </c>
      <c r="H13" s="241">
        <f t="shared" ca="1" si="0"/>
        <v>3381.7799999999997</v>
      </c>
      <c r="I13" s="241">
        <f t="shared" ca="1" si="0"/>
        <v>3168.1</v>
      </c>
      <c r="J13" s="241">
        <f t="shared" ca="1" si="0"/>
        <v>3460.63</v>
      </c>
      <c r="K13" s="241">
        <f t="shared" ca="1" si="0"/>
        <v>3121.9400000000005</v>
      </c>
      <c r="L13" s="241">
        <f t="shared" ca="1" si="0"/>
        <v>2044.76</v>
      </c>
      <c r="M13" s="241">
        <f t="shared" ca="1" si="0"/>
        <v>2382.0499999999997</v>
      </c>
      <c r="N13" s="241">
        <f t="shared" ca="1" si="1"/>
        <v>20535.04</v>
      </c>
    </row>
    <row r="14" spans="1:15">
      <c r="D14" s="238" t="s">
        <v>219</v>
      </c>
      <c r="E14" s="238" t="s">
        <v>359</v>
      </c>
      <c r="G14" s="241">
        <f t="shared" ca="1" si="0"/>
        <v>2365.2999999999997</v>
      </c>
      <c r="H14" s="241">
        <f t="shared" ca="1" si="0"/>
        <v>2500.09</v>
      </c>
      <c r="I14" s="241">
        <f t="shared" ca="1" si="0"/>
        <v>1938.95</v>
      </c>
      <c r="J14" s="241">
        <f t="shared" ca="1" si="0"/>
        <v>2300.9</v>
      </c>
      <c r="K14" s="241">
        <f t="shared" ca="1" si="0"/>
        <v>1273.69</v>
      </c>
      <c r="L14" s="241">
        <f t="shared" ca="1" si="0"/>
        <v>1188.07</v>
      </c>
      <c r="M14" s="241">
        <f t="shared" ca="1" si="0"/>
        <v>2253.9700000000003</v>
      </c>
      <c r="N14" s="241">
        <f t="shared" ca="1" si="1"/>
        <v>13820.970000000001</v>
      </c>
    </row>
    <row r="15" spans="1:15">
      <c r="D15" s="238" t="s">
        <v>228</v>
      </c>
      <c r="E15" s="238" t="s">
        <v>360</v>
      </c>
      <c r="G15" s="322">
        <f t="shared" ca="1" si="0"/>
        <v>109.58</v>
      </c>
      <c r="H15" s="241">
        <f t="shared" ca="1" si="0"/>
        <v>134.76999999999998</v>
      </c>
      <c r="I15" s="241">
        <f t="shared" ca="1" si="0"/>
        <v>165.09</v>
      </c>
      <c r="J15" s="241">
        <f t="shared" ca="1" si="0"/>
        <v>93.43</v>
      </c>
      <c r="K15" s="241">
        <f t="shared" ca="1" si="0"/>
        <v>52.62</v>
      </c>
      <c r="L15" s="241">
        <f t="shared" ca="1" si="0"/>
        <v>177.07</v>
      </c>
      <c r="M15" s="241">
        <f t="shared" ca="1" si="0"/>
        <v>768.82</v>
      </c>
      <c r="N15" s="241">
        <f t="shared" ca="1" si="1"/>
        <v>1501.38</v>
      </c>
    </row>
    <row r="16" spans="1:15">
      <c r="D16" s="238" t="s">
        <v>231</v>
      </c>
      <c r="E16" s="238" t="s">
        <v>361</v>
      </c>
      <c r="G16" s="241">
        <f t="shared" ca="1" si="0"/>
        <v>9974.07</v>
      </c>
      <c r="H16" s="241">
        <f t="shared" ca="1" si="0"/>
        <v>13483.529999999999</v>
      </c>
      <c r="I16" s="241">
        <f t="shared" ca="1" si="0"/>
        <v>12393.319999999998</v>
      </c>
      <c r="J16" s="241">
        <f t="shared" ca="1" si="0"/>
        <v>6407.57</v>
      </c>
      <c r="K16" s="241">
        <f t="shared" ca="1" si="0"/>
        <v>13266.630000000003</v>
      </c>
      <c r="L16" s="241">
        <f t="shared" ca="1" si="0"/>
        <v>10025.49</v>
      </c>
      <c r="M16" s="241">
        <f t="shared" ca="1" si="0"/>
        <v>10823.119999999999</v>
      </c>
      <c r="N16" s="241">
        <f t="shared" ca="1" si="1"/>
        <v>76373.73</v>
      </c>
    </row>
    <row r="17" spans="2:14">
      <c r="D17" s="238" t="s">
        <v>362</v>
      </c>
      <c r="E17" s="238" t="s">
        <v>363</v>
      </c>
      <c r="G17" s="241">
        <f t="shared" ca="1" si="0"/>
        <v>1574.22</v>
      </c>
      <c r="H17" s="241">
        <f t="shared" ca="1" si="0"/>
        <v>3229.7200000000003</v>
      </c>
      <c r="I17" s="241">
        <f t="shared" ca="1" si="0"/>
        <v>4021.24</v>
      </c>
      <c r="J17" s="241">
        <f t="shared" ca="1" si="0"/>
        <v>6996.18</v>
      </c>
      <c r="K17" s="241">
        <f t="shared" ca="1" si="0"/>
        <v>3228.79</v>
      </c>
      <c r="L17" s="241">
        <f t="shared" ca="1" si="0"/>
        <v>6008.0599999999995</v>
      </c>
      <c r="M17" s="241">
        <f t="shared" ca="1" si="0"/>
        <v>5173.58</v>
      </c>
      <c r="N17" s="241">
        <f t="shared" ca="1" si="1"/>
        <v>30231.79</v>
      </c>
    </row>
    <row r="18" spans="2:14">
      <c r="D18" s="238" t="s">
        <v>364</v>
      </c>
      <c r="E18" s="238" t="s">
        <v>365</v>
      </c>
      <c r="G18" s="241">
        <f t="shared" ca="1" si="0"/>
        <v>749.1</v>
      </c>
      <c r="H18" s="241">
        <f t="shared" ca="1" si="0"/>
        <v>105.95</v>
      </c>
      <c r="I18" s="241">
        <f t="shared" ca="1" si="0"/>
        <v>114.32</v>
      </c>
      <c r="J18" s="241">
        <f t="shared" ca="1" si="0"/>
        <v>72</v>
      </c>
      <c r="K18" s="241">
        <f t="shared" ca="1" si="0"/>
        <v>116.91</v>
      </c>
      <c r="L18" s="241">
        <f t="shared" ca="1" si="0"/>
        <v>92</v>
      </c>
      <c r="M18" s="241">
        <f t="shared" ca="1" si="0"/>
        <v>299</v>
      </c>
      <c r="N18" s="241">
        <f t="shared" ca="1" si="1"/>
        <v>1549.2800000000002</v>
      </c>
    </row>
    <row r="19" spans="2:14">
      <c r="D19" s="238" t="s">
        <v>235</v>
      </c>
      <c r="E19" s="238" t="s">
        <v>366</v>
      </c>
      <c r="G19" s="241">
        <f t="shared" ca="1" si="0"/>
        <v>1440.02</v>
      </c>
      <c r="H19" s="241">
        <f t="shared" ca="1" si="0"/>
        <v>990.04</v>
      </c>
      <c r="I19" s="241">
        <f t="shared" ca="1" si="0"/>
        <v>1019.16</v>
      </c>
      <c r="J19" s="241">
        <f t="shared" ca="1" si="0"/>
        <v>925.66000000000008</v>
      </c>
      <c r="K19" s="241">
        <f t="shared" ca="1" si="0"/>
        <v>685.21</v>
      </c>
      <c r="L19" s="241">
        <f t="shared" ca="1" si="0"/>
        <v>691.62</v>
      </c>
      <c r="M19" s="241">
        <f t="shared" ca="1" si="0"/>
        <v>1028.0700000000002</v>
      </c>
      <c r="N19" s="241">
        <f t="shared" ca="1" si="1"/>
        <v>6779.7800000000007</v>
      </c>
    </row>
    <row r="20" spans="2:14">
      <c r="D20" s="238" t="s">
        <v>367</v>
      </c>
      <c r="E20" s="238" t="s">
        <v>368</v>
      </c>
      <c r="G20" s="241">
        <f t="shared" ca="1" si="0"/>
        <v>305.39</v>
      </c>
      <c r="H20" s="241">
        <f t="shared" ca="1" si="0"/>
        <v>246.63</v>
      </c>
      <c r="I20" s="241">
        <f t="shared" ca="1" si="0"/>
        <v>504.28999999999996</v>
      </c>
      <c r="J20" s="241">
        <f t="shared" ca="1" si="0"/>
        <v>2506.1400000000003</v>
      </c>
      <c r="K20" s="241">
        <f t="shared" ca="1" si="0"/>
        <v>10475.76</v>
      </c>
      <c r="L20" s="241">
        <f t="shared" ca="1" si="0"/>
        <v>1348.35</v>
      </c>
      <c r="M20" s="241">
        <f t="shared" ca="1" si="0"/>
        <v>6599.27</v>
      </c>
      <c r="N20" s="241">
        <f t="shared" ca="1" si="1"/>
        <v>21985.83</v>
      </c>
    </row>
    <row r="21" spans="2:14">
      <c r="D21" s="238" t="s">
        <v>216</v>
      </c>
      <c r="E21" s="238" t="s">
        <v>369</v>
      </c>
      <c r="G21" s="241">
        <f t="shared" ca="1" si="0"/>
        <v>839.98</v>
      </c>
      <c r="H21" s="241">
        <f t="shared" ca="1" si="0"/>
        <v>711.56</v>
      </c>
      <c r="I21" s="241">
        <f t="shared" ca="1" si="0"/>
        <v>617.52</v>
      </c>
      <c r="J21" s="241">
        <f t="shared" ca="1" si="0"/>
        <v>9487.34</v>
      </c>
      <c r="K21" s="241">
        <f t="shared" ca="1" si="0"/>
        <v>1100.99</v>
      </c>
      <c r="L21" s="241">
        <f t="shared" ca="1" si="0"/>
        <v>1118.99</v>
      </c>
      <c r="M21" s="241">
        <f t="shared" ca="1" si="0"/>
        <v>788.58999999999992</v>
      </c>
      <c r="N21" s="241">
        <f t="shared" ca="1" si="1"/>
        <v>14664.97</v>
      </c>
    </row>
    <row r="22" spans="2:14">
      <c r="D22" s="238" t="s">
        <v>370</v>
      </c>
      <c r="E22" s="238" t="s">
        <v>371</v>
      </c>
      <c r="G22" s="241">
        <f t="shared" ca="1" si="0"/>
        <v>0.16</v>
      </c>
      <c r="H22" s="241">
        <f t="shared" ca="1" si="0"/>
        <v>145.82999999999998</v>
      </c>
      <c r="I22" s="241">
        <f t="shared" ca="1" si="0"/>
        <v>49.989999999999995</v>
      </c>
      <c r="J22" s="241">
        <f t="shared" ca="1" si="0"/>
        <v>2</v>
      </c>
      <c r="K22" s="241">
        <f t="shared" ca="1" si="0"/>
        <v>97.64</v>
      </c>
      <c r="L22" s="241">
        <f t="shared" ca="1" si="0"/>
        <v>721.18</v>
      </c>
      <c r="M22" s="241">
        <f t="shared" ca="1" si="0"/>
        <v>878.86</v>
      </c>
      <c r="N22" s="241">
        <f t="shared" ca="1" si="1"/>
        <v>1895.6599999999999</v>
      </c>
    </row>
    <row r="24" spans="2:14">
      <c r="B24" s="238" t="s">
        <v>109</v>
      </c>
      <c r="G24" s="238" t="s">
        <v>347</v>
      </c>
    </row>
    <row r="25" spans="2:14">
      <c r="B25" s="238" t="s">
        <v>348</v>
      </c>
      <c r="D25" s="239" t="s">
        <v>349</v>
      </c>
      <c r="E25" s="239" t="s">
        <v>350</v>
      </c>
      <c r="F25" s="239"/>
      <c r="G25" s="238" t="s">
        <v>86</v>
      </c>
      <c r="H25" s="238" t="s">
        <v>83</v>
      </c>
      <c r="I25" s="238" t="s">
        <v>82</v>
      </c>
      <c r="J25" s="238" t="s">
        <v>81</v>
      </c>
      <c r="K25" s="238" t="s">
        <v>80</v>
      </c>
      <c r="L25" s="238" t="s">
        <v>79</v>
      </c>
      <c r="M25" s="238" t="s">
        <v>78</v>
      </c>
      <c r="N25" s="238" t="s">
        <v>351</v>
      </c>
    </row>
    <row r="26" spans="2:14">
      <c r="D26" s="238" t="s">
        <v>157</v>
      </c>
      <c r="E26" s="238" t="s">
        <v>352</v>
      </c>
      <c r="G26" s="241">
        <f t="shared" ref="G26:M40" ca="1" si="2">SUMIF($F$172:$O$1011,(CONCATENATE(G$25," - ",$E26)),$H$172:$H$1011)</f>
        <v>4.83</v>
      </c>
      <c r="H26" s="241">
        <f t="shared" ca="1" si="2"/>
        <v>11.56</v>
      </c>
      <c r="I26" s="241">
        <f t="shared" ca="1" si="2"/>
        <v>9.68</v>
      </c>
      <c r="J26" s="241">
        <f t="shared" ca="1" si="2"/>
        <v>10.6</v>
      </c>
      <c r="K26" s="241">
        <f t="shared" ca="1" si="2"/>
        <v>31.62</v>
      </c>
      <c r="L26" s="241">
        <f t="shared" ca="1" si="2"/>
        <v>14</v>
      </c>
      <c r="M26" s="241">
        <f t="shared" ca="1" si="2"/>
        <v>0.06</v>
      </c>
      <c r="N26" s="241">
        <f t="shared" ref="N26:N40" ca="1" si="3">SUM(G26:M26)</f>
        <v>82.350000000000009</v>
      </c>
    </row>
    <row r="27" spans="2:14">
      <c r="D27" s="238" t="s">
        <v>186</v>
      </c>
      <c r="E27" s="238" t="s">
        <v>353</v>
      </c>
      <c r="G27" s="241">
        <f t="shared" ca="1" si="2"/>
        <v>10316.89</v>
      </c>
      <c r="H27" s="241">
        <f t="shared" ca="1" si="2"/>
        <v>11329.44</v>
      </c>
      <c r="I27" s="241">
        <f t="shared" ca="1" si="2"/>
        <v>10292.65</v>
      </c>
      <c r="J27" s="241">
        <f t="shared" ca="1" si="2"/>
        <v>9774.49</v>
      </c>
      <c r="K27" s="241">
        <f t="shared" ca="1" si="2"/>
        <v>11149.800000000001</v>
      </c>
      <c r="L27" s="241">
        <f t="shared" ca="1" si="2"/>
        <v>7982.9699999999993</v>
      </c>
      <c r="M27" s="241">
        <f t="shared" ca="1" si="2"/>
        <v>8585.68</v>
      </c>
      <c r="N27" s="241">
        <f t="shared" ca="1" si="3"/>
        <v>69431.920000000013</v>
      </c>
    </row>
    <row r="28" spans="2:14">
      <c r="D28" s="238" t="s">
        <v>247</v>
      </c>
      <c r="E28" s="238" t="s">
        <v>354</v>
      </c>
      <c r="G28" s="241">
        <f t="shared" ca="1" si="2"/>
        <v>44.54</v>
      </c>
      <c r="H28" s="241">
        <f t="shared" ca="1" si="2"/>
        <v>0</v>
      </c>
      <c r="I28" s="241">
        <f t="shared" ca="1" si="2"/>
        <v>804.41</v>
      </c>
      <c r="J28" s="241">
        <f t="shared" ca="1" si="2"/>
        <v>609.76</v>
      </c>
      <c r="K28" s="241">
        <f t="shared" ca="1" si="2"/>
        <v>491.8</v>
      </c>
      <c r="L28" s="241">
        <f t="shared" ca="1" si="2"/>
        <v>707.9</v>
      </c>
      <c r="M28" s="241">
        <f t="shared" ca="1" si="2"/>
        <v>454.64</v>
      </c>
      <c r="N28" s="241">
        <f t="shared" ca="1" si="3"/>
        <v>3113.0499999999997</v>
      </c>
    </row>
    <row r="29" spans="2:14">
      <c r="D29" s="238" t="s">
        <v>159</v>
      </c>
      <c r="E29" s="238" t="s">
        <v>355</v>
      </c>
      <c r="G29" s="241">
        <f t="shared" ca="1" si="2"/>
        <v>36152.639999999999</v>
      </c>
      <c r="H29" s="241">
        <f t="shared" ca="1" si="2"/>
        <v>36773.46</v>
      </c>
      <c r="I29" s="241">
        <f t="shared" ca="1" si="2"/>
        <v>27860.590000000004</v>
      </c>
      <c r="J29" s="241">
        <f t="shared" ca="1" si="2"/>
        <v>28731.79</v>
      </c>
      <c r="K29" s="241">
        <f t="shared" ca="1" si="2"/>
        <v>19731</v>
      </c>
      <c r="L29" s="241">
        <f t="shared" ca="1" si="2"/>
        <v>27208.46</v>
      </c>
      <c r="M29" s="241">
        <f t="shared" ca="1" si="2"/>
        <v>26246.059999999998</v>
      </c>
      <c r="N29" s="241">
        <f t="shared" ca="1" si="3"/>
        <v>202704</v>
      </c>
    </row>
    <row r="30" spans="2:14">
      <c r="D30" s="238" t="s">
        <v>356</v>
      </c>
      <c r="E30" s="238" t="s">
        <v>357</v>
      </c>
      <c r="G30" s="241">
        <f t="shared" ca="1" si="2"/>
        <v>18.79</v>
      </c>
      <c r="H30" s="241">
        <f t="shared" ca="1" si="2"/>
        <v>23.75</v>
      </c>
      <c r="I30" s="241">
        <f t="shared" ca="1" si="2"/>
        <v>0.51</v>
      </c>
      <c r="J30" s="241">
        <f t="shared" ca="1" si="2"/>
        <v>2.6</v>
      </c>
      <c r="K30" s="241">
        <f t="shared" ca="1" si="2"/>
        <v>0.5</v>
      </c>
      <c r="L30" s="241">
        <f t="shared" ca="1" si="2"/>
        <v>13.16</v>
      </c>
      <c r="M30" s="241">
        <f t="shared" ca="1" si="2"/>
        <v>0</v>
      </c>
      <c r="N30" s="241">
        <f t="shared" ca="1" si="3"/>
        <v>59.31</v>
      </c>
    </row>
    <row r="31" spans="2:14">
      <c r="D31" s="238" t="s">
        <v>161</v>
      </c>
      <c r="E31" s="238" t="s">
        <v>358</v>
      </c>
      <c r="G31" s="241">
        <f t="shared" ca="1" si="2"/>
        <v>1099.68</v>
      </c>
      <c r="H31" s="241">
        <f t="shared" ca="1" si="2"/>
        <v>2736.2999999999997</v>
      </c>
      <c r="I31" s="241">
        <f t="shared" ca="1" si="2"/>
        <v>1464.38</v>
      </c>
      <c r="J31" s="241">
        <f t="shared" ca="1" si="2"/>
        <v>200.91000000000003</v>
      </c>
      <c r="K31" s="241">
        <f t="shared" ca="1" si="2"/>
        <v>588.27</v>
      </c>
      <c r="L31" s="241">
        <f t="shared" ca="1" si="2"/>
        <v>2329.6</v>
      </c>
      <c r="M31" s="241">
        <f t="shared" ca="1" si="2"/>
        <v>4454.2700000000004</v>
      </c>
      <c r="N31" s="241">
        <f t="shared" ca="1" si="3"/>
        <v>12873.41</v>
      </c>
    </row>
    <row r="32" spans="2:14">
      <c r="D32" s="238" t="s">
        <v>219</v>
      </c>
      <c r="E32" s="238" t="s">
        <v>359</v>
      </c>
      <c r="G32" s="241">
        <f t="shared" ca="1" si="2"/>
        <v>618.72</v>
      </c>
      <c r="H32" s="241">
        <f t="shared" ca="1" si="2"/>
        <v>676.46</v>
      </c>
      <c r="I32" s="241">
        <f t="shared" ca="1" si="2"/>
        <v>1101.76</v>
      </c>
      <c r="J32" s="241">
        <f t="shared" ca="1" si="2"/>
        <v>2274.9699999999998</v>
      </c>
      <c r="K32" s="241">
        <f t="shared" ca="1" si="2"/>
        <v>2781.87</v>
      </c>
      <c r="L32" s="241">
        <f t="shared" ca="1" si="2"/>
        <v>1142.5600000000002</v>
      </c>
      <c r="M32" s="241">
        <f t="shared" ca="1" si="2"/>
        <v>372.78</v>
      </c>
      <c r="N32" s="241">
        <f t="shared" ca="1" si="3"/>
        <v>8969.1200000000008</v>
      </c>
    </row>
    <row r="33" spans="2:14">
      <c r="D33" s="238" t="s">
        <v>228</v>
      </c>
      <c r="E33" s="238" t="s">
        <v>360</v>
      </c>
      <c r="G33" s="241">
        <f t="shared" ca="1" si="2"/>
        <v>30.1</v>
      </c>
      <c r="H33" s="241">
        <f t="shared" ca="1" si="2"/>
        <v>8.4</v>
      </c>
      <c r="I33" s="241">
        <f t="shared" ca="1" si="2"/>
        <v>7.12</v>
      </c>
      <c r="J33" s="241">
        <f t="shared" ca="1" si="2"/>
        <v>86</v>
      </c>
      <c r="K33" s="241">
        <f t="shared" ca="1" si="2"/>
        <v>0</v>
      </c>
      <c r="L33" s="241">
        <f t="shared" ca="1" si="2"/>
        <v>42.849999999999994</v>
      </c>
      <c r="M33" s="241">
        <f t="shared" ca="1" si="2"/>
        <v>3.91</v>
      </c>
      <c r="N33" s="241">
        <f t="shared" ca="1" si="3"/>
        <v>178.38</v>
      </c>
    </row>
    <row r="34" spans="2:14">
      <c r="D34" s="238" t="s">
        <v>231</v>
      </c>
      <c r="E34" s="238" t="s">
        <v>361</v>
      </c>
      <c r="G34" s="241">
        <f t="shared" ca="1" si="2"/>
        <v>4053.46</v>
      </c>
      <c r="H34" s="241">
        <f t="shared" ca="1" si="2"/>
        <v>4898.28</v>
      </c>
      <c r="I34" s="241">
        <f t="shared" ca="1" si="2"/>
        <v>4172.28</v>
      </c>
      <c r="J34" s="241">
        <f t="shared" ca="1" si="2"/>
        <v>2355.7400000000002</v>
      </c>
      <c r="K34" s="241">
        <f t="shared" ca="1" si="2"/>
        <v>3682.12</v>
      </c>
      <c r="L34" s="241">
        <f t="shared" ca="1" si="2"/>
        <v>3141.62</v>
      </c>
      <c r="M34" s="241">
        <f t="shared" ca="1" si="2"/>
        <v>3357.26</v>
      </c>
      <c r="N34" s="241">
        <f t="shared" ca="1" si="3"/>
        <v>25660.760000000002</v>
      </c>
    </row>
    <row r="35" spans="2:14">
      <c r="D35" s="238" t="s">
        <v>362</v>
      </c>
      <c r="E35" s="238" t="s">
        <v>363</v>
      </c>
      <c r="G35" s="241">
        <f t="shared" ca="1" si="2"/>
        <v>2381.9699999999998</v>
      </c>
      <c r="H35" s="241">
        <f t="shared" ca="1" si="2"/>
        <v>3914.49</v>
      </c>
      <c r="I35" s="241">
        <f t="shared" ca="1" si="2"/>
        <v>3622.28</v>
      </c>
      <c r="J35" s="241">
        <f t="shared" ca="1" si="2"/>
        <v>4104.88</v>
      </c>
      <c r="K35" s="241">
        <f t="shared" ca="1" si="2"/>
        <v>4144.3</v>
      </c>
      <c r="L35" s="241">
        <f t="shared" ca="1" si="2"/>
        <v>3003.61</v>
      </c>
      <c r="M35" s="241">
        <f t="shared" ca="1" si="2"/>
        <v>2774.93</v>
      </c>
      <c r="N35" s="241">
        <f t="shared" ca="1" si="3"/>
        <v>23946.46</v>
      </c>
    </row>
    <row r="36" spans="2:14">
      <c r="D36" s="238" t="s">
        <v>364</v>
      </c>
      <c r="E36" s="238" t="s">
        <v>365</v>
      </c>
      <c r="G36" s="241">
        <f t="shared" ca="1" si="2"/>
        <v>0</v>
      </c>
      <c r="H36" s="241">
        <f t="shared" ca="1" si="2"/>
        <v>0</v>
      </c>
      <c r="I36" s="241">
        <f t="shared" ca="1" si="2"/>
        <v>0</v>
      </c>
      <c r="J36" s="241">
        <f t="shared" ca="1" si="2"/>
        <v>0</v>
      </c>
      <c r="K36" s="241">
        <f t="shared" ca="1" si="2"/>
        <v>0</v>
      </c>
      <c r="L36" s="241">
        <f t="shared" ca="1" si="2"/>
        <v>0</v>
      </c>
      <c r="M36" s="241">
        <f t="shared" ca="1" si="2"/>
        <v>0</v>
      </c>
      <c r="N36" s="241">
        <f t="shared" ca="1" si="3"/>
        <v>0</v>
      </c>
    </row>
    <row r="37" spans="2:14">
      <c r="D37" s="238" t="s">
        <v>235</v>
      </c>
      <c r="E37" s="238" t="s">
        <v>366</v>
      </c>
      <c r="G37" s="241">
        <f t="shared" ca="1" si="2"/>
        <v>354.14</v>
      </c>
      <c r="H37" s="241">
        <f t="shared" ca="1" si="2"/>
        <v>213.29</v>
      </c>
      <c r="I37" s="241">
        <f t="shared" ca="1" si="2"/>
        <v>730.38</v>
      </c>
      <c r="J37" s="241">
        <f t="shared" ca="1" si="2"/>
        <v>586.59</v>
      </c>
      <c r="K37" s="241">
        <f t="shared" ca="1" si="2"/>
        <v>421.51</v>
      </c>
      <c r="L37" s="241">
        <f t="shared" ca="1" si="2"/>
        <v>299.29000000000002</v>
      </c>
      <c r="M37" s="241">
        <f t="shared" ca="1" si="2"/>
        <v>65.34</v>
      </c>
      <c r="N37" s="241">
        <f t="shared" ca="1" si="3"/>
        <v>2670.54</v>
      </c>
    </row>
    <row r="38" spans="2:14">
      <c r="D38" s="238" t="s">
        <v>367</v>
      </c>
      <c r="E38" s="238" t="s">
        <v>368</v>
      </c>
      <c r="G38" s="241">
        <f t="shared" ca="1" si="2"/>
        <v>460.51</v>
      </c>
      <c r="H38" s="241">
        <f t="shared" ca="1" si="2"/>
        <v>1548.75</v>
      </c>
      <c r="I38" s="241">
        <f t="shared" ca="1" si="2"/>
        <v>988.94</v>
      </c>
      <c r="J38" s="241">
        <f t="shared" ca="1" si="2"/>
        <v>728.11</v>
      </c>
      <c r="K38" s="241">
        <f t="shared" ca="1" si="2"/>
        <v>1207.8500000000001</v>
      </c>
      <c r="L38" s="241">
        <f t="shared" ca="1" si="2"/>
        <v>1887.06</v>
      </c>
      <c r="M38" s="241">
        <f t="shared" ca="1" si="2"/>
        <v>3108.44</v>
      </c>
      <c r="N38" s="241">
        <f t="shared" ca="1" si="3"/>
        <v>9929.66</v>
      </c>
    </row>
    <row r="39" spans="2:14">
      <c r="D39" s="238" t="s">
        <v>216</v>
      </c>
      <c r="E39" s="238" t="s">
        <v>369</v>
      </c>
      <c r="G39" s="241">
        <f t="shared" ca="1" si="2"/>
        <v>1535.27</v>
      </c>
      <c r="H39" s="241">
        <f t="shared" ca="1" si="2"/>
        <v>1553.96</v>
      </c>
      <c r="I39" s="241">
        <f t="shared" ca="1" si="2"/>
        <v>1808.27</v>
      </c>
      <c r="J39" s="241">
        <f t="shared" ca="1" si="2"/>
        <v>13.969999999999999</v>
      </c>
      <c r="K39" s="241">
        <f t="shared" ca="1" si="2"/>
        <v>1.69</v>
      </c>
      <c r="L39" s="241">
        <f t="shared" ca="1" si="2"/>
        <v>13.85</v>
      </c>
      <c r="M39" s="241">
        <f t="shared" ca="1" si="2"/>
        <v>0.31</v>
      </c>
      <c r="N39" s="241">
        <f t="shared" ca="1" si="3"/>
        <v>4927.3200000000006</v>
      </c>
    </row>
    <row r="40" spans="2:14">
      <c r="D40" s="238" t="s">
        <v>370</v>
      </c>
      <c r="E40" s="238" t="s">
        <v>371</v>
      </c>
      <c r="G40" s="241">
        <f t="shared" ca="1" si="2"/>
        <v>34.5</v>
      </c>
      <c r="H40" s="241">
        <f t="shared" ca="1" si="2"/>
        <v>180.66</v>
      </c>
      <c r="I40" s="241">
        <f t="shared" ca="1" si="2"/>
        <v>0</v>
      </c>
      <c r="J40" s="241">
        <f t="shared" ca="1" si="2"/>
        <v>0.26</v>
      </c>
      <c r="K40" s="241">
        <f t="shared" ca="1" si="2"/>
        <v>0</v>
      </c>
      <c r="L40" s="241">
        <f t="shared" ca="1" si="2"/>
        <v>38.83</v>
      </c>
      <c r="M40" s="241">
        <f t="shared" ca="1" si="2"/>
        <v>60.459999999999994</v>
      </c>
      <c r="N40" s="241">
        <f t="shared" ca="1" si="3"/>
        <v>314.70999999999998</v>
      </c>
    </row>
    <row r="42" spans="2:14">
      <c r="B42" s="238" t="s">
        <v>163</v>
      </c>
      <c r="G42" s="238" t="s">
        <v>347</v>
      </c>
    </row>
    <row r="43" spans="2:14">
      <c r="B43" s="238" t="s">
        <v>348</v>
      </c>
      <c r="D43" s="239" t="s">
        <v>349</v>
      </c>
      <c r="E43" s="239" t="s">
        <v>350</v>
      </c>
      <c r="G43" s="238" t="s">
        <v>86</v>
      </c>
      <c r="H43" s="238" t="s">
        <v>83</v>
      </c>
      <c r="I43" s="238" t="s">
        <v>82</v>
      </c>
      <c r="J43" s="238" t="s">
        <v>81</v>
      </c>
      <c r="K43" s="238" t="s">
        <v>80</v>
      </c>
      <c r="L43" s="238" t="s">
        <v>79</v>
      </c>
      <c r="M43" s="238" t="s">
        <v>78</v>
      </c>
      <c r="N43" s="238" t="s">
        <v>351</v>
      </c>
    </row>
    <row r="44" spans="2:14">
      <c r="D44" s="238" t="s">
        <v>157</v>
      </c>
      <c r="E44" s="238" t="s">
        <v>352</v>
      </c>
      <c r="G44" s="241">
        <f t="shared" ref="G44:M58" ca="1" si="4">SUMIF($F$172:$O$1011,(CONCATENATE(G$43," - ",$E44)),$I$172:$I$1011)</f>
        <v>0</v>
      </c>
      <c r="H44" s="241">
        <f t="shared" ca="1" si="4"/>
        <v>26.48</v>
      </c>
      <c r="I44" s="241">
        <f t="shared" ca="1" si="4"/>
        <v>3.94</v>
      </c>
      <c r="J44" s="241">
        <f t="shared" ca="1" si="4"/>
        <v>11.89</v>
      </c>
      <c r="K44" s="241">
        <f t="shared" ca="1" si="4"/>
        <v>9.02</v>
      </c>
      <c r="L44" s="241">
        <f t="shared" ca="1" si="4"/>
        <v>0</v>
      </c>
      <c r="M44" s="241">
        <f t="shared" ca="1" si="4"/>
        <v>25.29</v>
      </c>
      <c r="N44" s="241">
        <f t="shared" ref="N44:N58" ca="1" si="5">SUM(G44:M44)</f>
        <v>76.62</v>
      </c>
    </row>
    <row r="45" spans="2:14">
      <c r="D45" s="238" t="s">
        <v>186</v>
      </c>
      <c r="E45" s="238" t="s">
        <v>353</v>
      </c>
      <c r="G45" s="241">
        <f t="shared" ca="1" si="4"/>
        <v>0.6</v>
      </c>
      <c r="H45" s="241">
        <f t="shared" ca="1" si="4"/>
        <v>5.22</v>
      </c>
      <c r="I45" s="241">
        <f t="shared" ca="1" si="4"/>
        <v>3.71</v>
      </c>
      <c r="J45" s="241">
        <f t="shared" ca="1" si="4"/>
        <v>108.19</v>
      </c>
      <c r="K45" s="241">
        <f t="shared" ca="1" si="4"/>
        <v>66.81</v>
      </c>
      <c r="L45" s="241">
        <f t="shared" ca="1" si="4"/>
        <v>52.91</v>
      </c>
      <c r="M45" s="241">
        <f t="shared" ca="1" si="4"/>
        <v>11.11</v>
      </c>
      <c r="N45" s="241">
        <f t="shared" ca="1" si="5"/>
        <v>248.55</v>
      </c>
    </row>
    <row r="46" spans="2:14">
      <c r="D46" s="238" t="s">
        <v>247</v>
      </c>
      <c r="E46" s="238" t="s">
        <v>354</v>
      </c>
      <c r="G46" s="241">
        <f t="shared" ca="1" si="4"/>
        <v>0</v>
      </c>
      <c r="H46" s="241">
        <f t="shared" ca="1" si="4"/>
        <v>22.48</v>
      </c>
      <c r="I46" s="241">
        <f t="shared" ca="1" si="4"/>
        <v>3.5</v>
      </c>
      <c r="J46" s="241">
        <f t="shared" ca="1" si="4"/>
        <v>0</v>
      </c>
      <c r="K46" s="241">
        <f t="shared" ca="1" si="4"/>
        <v>53.98</v>
      </c>
      <c r="L46" s="241">
        <f t="shared" ca="1" si="4"/>
        <v>7.46</v>
      </c>
      <c r="M46" s="241">
        <f t="shared" ca="1" si="4"/>
        <v>1.25</v>
      </c>
      <c r="N46" s="241">
        <f t="shared" ca="1" si="5"/>
        <v>88.669999999999987</v>
      </c>
    </row>
    <row r="47" spans="2:14">
      <c r="D47" s="238" t="s">
        <v>159</v>
      </c>
      <c r="E47" s="238" t="s">
        <v>355</v>
      </c>
      <c r="G47" s="241">
        <f t="shared" ca="1" si="4"/>
        <v>14205.2</v>
      </c>
      <c r="H47" s="241">
        <f t="shared" ca="1" si="4"/>
        <v>18221.240000000002</v>
      </c>
      <c r="I47" s="241">
        <f t="shared" ca="1" si="4"/>
        <v>13221.53</v>
      </c>
      <c r="J47" s="241">
        <f t="shared" ca="1" si="4"/>
        <v>18794.260000000002</v>
      </c>
      <c r="K47" s="241">
        <f t="shared" ca="1" si="4"/>
        <v>10936.05</v>
      </c>
      <c r="L47" s="241">
        <f t="shared" ca="1" si="4"/>
        <v>14520.210000000001</v>
      </c>
      <c r="M47" s="241">
        <f t="shared" ca="1" si="4"/>
        <v>11855.63</v>
      </c>
      <c r="N47" s="241">
        <f t="shared" ca="1" si="5"/>
        <v>101754.12000000001</v>
      </c>
    </row>
    <row r="48" spans="2:14">
      <c r="D48" s="238" t="s">
        <v>356</v>
      </c>
      <c r="E48" s="238" t="s">
        <v>357</v>
      </c>
      <c r="G48" s="241">
        <f t="shared" ca="1" si="4"/>
        <v>0</v>
      </c>
      <c r="H48" s="241">
        <f t="shared" ca="1" si="4"/>
        <v>0</v>
      </c>
      <c r="I48" s="241">
        <f t="shared" ca="1" si="4"/>
        <v>0.6</v>
      </c>
      <c r="J48" s="241">
        <f t="shared" ca="1" si="4"/>
        <v>0</v>
      </c>
      <c r="K48" s="241">
        <f t="shared" ca="1" si="4"/>
        <v>0.09</v>
      </c>
      <c r="L48" s="241">
        <f t="shared" ca="1" si="4"/>
        <v>0</v>
      </c>
      <c r="M48" s="241">
        <f t="shared" ca="1" si="4"/>
        <v>8.61</v>
      </c>
      <c r="N48" s="241">
        <f t="shared" ca="1" si="5"/>
        <v>9.2999999999999989</v>
      </c>
    </row>
    <row r="49" spans="2:14">
      <c r="D49" s="238" t="s">
        <v>161</v>
      </c>
      <c r="E49" s="238" t="s">
        <v>358</v>
      </c>
      <c r="G49" s="241">
        <f t="shared" ca="1" si="4"/>
        <v>1690.4099999999999</v>
      </c>
      <c r="H49" s="241">
        <f t="shared" ca="1" si="4"/>
        <v>1707.97</v>
      </c>
      <c r="I49" s="241">
        <f t="shared" ca="1" si="4"/>
        <v>1726.5700000000002</v>
      </c>
      <c r="J49" s="241">
        <f t="shared" ca="1" si="4"/>
        <v>1950</v>
      </c>
      <c r="K49" s="241">
        <f t="shared" ca="1" si="4"/>
        <v>1993.8200000000002</v>
      </c>
      <c r="L49" s="241">
        <f t="shared" ca="1" si="4"/>
        <v>2036.24</v>
      </c>
      <c r="M49" s="241">
        <f t="shared" ca="1" si="4"/>
        <v>1547.43</v>
      </c>
      <c r="N49" s="241">
        <f t="shared" ca="1" si="5"/>
        <v>12652.44</v>
      </c>
    </row>
    <row r="50" spans="2:14">
      <c r="D50" s="238" t="s">
        <v>219</v>
      </c>
      <c r="E50" s="238" t="s">
        <v>359</v>
      </c>
      <c r="G50" s="241">
        <f t="shared" ca="1" si="4"/>
        <v>772.29</v>
      </c>
      <c r="H50" s="241">
        <f t="shared" ca="1" si="4"/>
        <v>463.53000000000003</v>
      </c>
      <c r="I50" s="241">
        <f t="shared" ca="1" si="4"/>
        <v>800.65</v>
      </c>
      <c r="J50" s="241">
        <f t="shared" ca="1" si="4"/>
        <v>128.03</v>
      </c>
      <c r="K50" s="241">
        <f t="shared" ca="1" si="4"/>
        <v>388.06000000000006</v>
      </c>
      <c r="L50" s="241">
        <f t="shared" ca="1" si="4"/>
        <v>379.96000000000004</v>
      </c>
      <c r="M50" s="241">
        <f t="shared" ca="1" si="4"/>
        <v>809.59</v>
      </c>
      <c r="N50" s="241">
        <f t="shared" ca="1" si="5"/>
        <v>3742.11</v>
      </c>
    </row>
    <row r="51" spans="2:14">
      <c r="D51" s="238" t="s">
        <v>228</v>
      </c>
      <c r="E51" s="238" t="s">
        <v>360</v>
      </c>
      <c r="G51" s="241">
        <f t="shared" ca="1" si="4"/>
        <v>527.28</v>
      </c>
      <c r="H51" s="241">
        <f t="shared" ca="1" si="4"/>
        <v>574.22</v>
      </c>
      <c r="I51" s="241">
        <f t="shared" ca="1" si="4"/>
        <v>718.17</v>
      </c>
      <c r="J51" s="241">
        <f t="shared" ca="1" si="4"/>
        <v>650.30999999999995</v>
      </c>
      <c r="K51" s="241">
        <f t="shared" ca="1" si="4"/>
        <v>607.84</v>
      </c>
      <c r="L51" s="241">
        <f t="shared" ca="1" si="4"/>
        <v>574.26</v>
      </c>
      <c r="M51" s="241">
        <f t="shared" ca="1" si="4"/>
        <v>737.89</v>
      </c>
      <c r="N51" s="241">
        <f t="shared" ca="1" si="5"/>
        <v>4389.97</v>
      </c>
    </row>
    <row r="52" spans="2:14">
      <c r="D52" s="238" t="s">
        <v>231</v>
      </c>
      <c r="E52" s="238" t="s">
        <v>361</v>
      </c>
      <c r="G52" s="241">
        <f t="shared" ca="1" si="4"/>
        <v>1182.97</v>
      </c>
      <c r="H52" s="241">
        <f t="shared" ca="1" si="4"/>
        <v>3227.7599999999998</v>
      </c>
      <c r="I52" s="241">
        <f t="shared" ca="1" si="4"/>
        <v>3952.36</v>
      </c>
      <c r="J52" s="241">
        <f t="shared" ca="1" si="4"/>
        <v>5058.18</v>
      </c>
      <c r="K52" s="241">
        <f t="shared" ca="1" si="4"/>
        <v>6373.7300000000005</v>
      </c>
      <c r="L52" s="241">
        <f t="shared" ca="1" si="4"/>
        <v>8750.23</v>
      </c>
      <c r="M52" s="241">
        <f t="shared" ca="1" si="4"/>
        <v>3557.71</v>
      </c>
      <c r="N52" s="241">
        <f t="shared" ca="1" si="5"/>
        <v>32102.94</v>
      </c>
    </row>
    <row r="53" spans="2:14">
      <c r="D53" s="238" t="s">
        <v>362</v>
      </c>
      <c r="E53" s="238" t="s">
        <v>363</v>
      </c>
      <c r="G53" s="241">
        <f t="shared" ca="1" si="4"/>
        <v>7536.49</v>
      </c>
      <c r="H53" s="241">
        <f t="shared" ca="1" si="4"/>
        <v>12937.25</v>
      </c>
      <c r="I53" s="241">
        <f t="shared" ca="1" si="4"/>
        <v>1621.23</v>
      </c>
      <c r="J53" s="241">
        <f t="shared" ca="1" si="4"/>
        <v>0</v>
      </c>
      <c r="K53" s="241">
        <f t="shared" ca="1" si="4"/>
        <v>22.2</v>
      </c>
      <c r="L53" s="241">
        <f t="shared" ca="1" si="4"/>
        <v>0</v>
      </c>
      <c r="M53" s="241">
        <f t="shared" ca="1" si="4"/>
        <v>0</v>
      </c>
      <c r="N53" s="241">
        <f t="shared" ca="1" si="5"/>
        <v>22117.17</v>
      </c>
    </row>
    <row r="54" spans="2:14">
      <c r="D54" s="238" t="s">
        <v>364</v>
      </c>
      <c r="E54" s="238" t="s">
        <v>365</v>
      </c>
      <c r="G54" s="241">
        <f t="shared" ca="1" si="4"/>
        <v>0</v>
      </c>
      <c r="H54" s="241">
        <f t="shared" ca="1" si="4"/>
        <v>0</v>
      </c>
      <c r="I54" s="241">
        <f t="shared" ca="1" si="4"/>
        <v>0</v>
      </c>
      <c r="J54" s="241">
        <f t="shared" ca="1" si="4"/>
        <v>20</v>
      </c>
      <c r="K54" s="241">
        <f t="shared" ca="1" si="4"/>
        <v>0</v>
      </c>
      <c r="L54" s="241">
        <f t="shared" ca="1" si="4"/>
        <v>23</v>
      </c>
      <c r="M54" s="241">
        <f t="shared" ca="1" si="4"/>
        <v>215</v>
      </c>
      <c r="N54" s="241">
        <f t="shared" ca="1" si="5"/>
        <v>258</v>
      </c>
    </row>
    <row r="55" spans="2:14">
      <c r="D55" s="238" t="s">
        <v>235</v>
      </c>
      <c r="E55" s="238" t="s">
        <v>366</v>
      </c>
      <c r="G55" s="241">
        <f t="shared" ca="1" si="4"/>
        <v>236.18</v>
      </c>
      <c r="H55" s="241">
        <f t="shared" ca="1" si="4"/>
        <v>1140.9800000000002</v>
      </c>
      <c r="I55" s="241">
        <f t="shared" ca="1" si="4"/>
        <v>1845.1599999999999</v>
      </c>
      <c r="J55" s="241">
        <f t="shared" ca="1" si="4"/>
        <v>1718.75</v>
      </c>
      <c r="K55" s="241">
        <f t="shared" ca="1" si="4"/>
        <v>982.91</v>
      </c>
      <c r="L55" s="241">
        <f t="shared" ca="1" si="4"/>
        <v>2043.27</v>
      </c>
      <c r="M55" s="241">
        <f t="shared" ca="1" si="4"/>
        <v>1260</v>
      </c>
      <c r="N55" s="241">
        <f t="shared" ca="1" si="5"/>
        <v>9227.25</v>
      </c>
    </row>
    <row r="56" spans="2:14">
      <c r="D56" s="238" t="s">
        <v>367</v>
      </c>
      <c r="E56" s="238" t="s">
        <v>368</v>
      </c>
      <c r="G56" s="241">
        <f t="shared" ca="1" si="4"/>
        <v>318.55</v>
      </c>
      <c r="H56" s="241">
        <f t="shared" ca="1" si="4"/>
        <v>333.92</v>
      </c>
      <c r="I56" s="241">
        <f t="shared" ca="1" si="4"/>
        <v>82.22</v>
      </c>
      <c r="J56" s="241">
        <f t="shared" ca="1" si="4"/>
        <v>162.86000000000001</v>
      </c>
      <c r="K56" s="241">
        <f t="shared" ca="1" si="4"/>
        <v>137.70000000000002</v>
      </c>
      <c r="L56" s="241">
        <f t="shared" ca="1" si="4"/>
        <v>314.88</v>
      </c>
      <c r="M56" s="241">
        <f t="shared" ca="1" si="4"/>
        <v>374.49</v>
      </c>
      <c r="N56" s="241">
        <f t="shared" ca="1" si="5"/>
        <v>1724.6200000000001</v>
      </c>
    </row>
    <row r="57" spans="2:14">
      <c r="D57" s="238" t="s">
        <v>216</v>
      </c>
      <c r="E57" s="238" t="s">
        <v>369</v>
      </c>
      <c r="G57" s="241">
        <f t="shared" ca="1" si="4"/>
        <v>14.12</v>
      </c>
      <c r="H57" s="241">
        <f t="shared" ca="1" si="4"/>
        <v>33.94</v>
      </c>
      <c r="I57" s="241">
        <f t="shared" ca="1" si="4"/>
        <v>147.72999999999999</v>
      </c>
      <c r="J57" s="241">
        <f t="shared" ca="1" si="4"/>
        <v>260.74</v>
      </c>
      <c r="K57" s="241">
        <f t="shared" ca="1" si="4"/>
        <v>98.759999999999991</v>
      </c>
      <c r="L57" s="241">
        <f t="shared" ca="1" si="4"/>
        <v>374</v>
      </c>
      <c r="M57" s="241">
        <f t="shared" ca="1" si="4"/>
        <v>80.98</v>
      </c>
      <c r="N57" s="241">
        <f t="shared" ca="1" si="5"/>
        <v>1010.27</v>
      </c>
    </row>
    <row r="58" spans="2:14">
      <c r="D58" s="238" t="s">
        <v>370</v>
      </c>
      <c r="E58" s="238" t="s">
        <v>371</v>
      </c>
      <c r="G58" s="241">
        <f t="shared" ca="1" si="4"/>
        <v>15.8</v>
      </c>
      <c r="H58" s="241">
        <f t="shared" ca="1" si="4"/>
        <v>8.6</v>
      </c>
      <c r="I58" s="241">
        <f t="shared" ca="1" si="4"/>
        <v>21.790000000000003</v>
      </c>
      <c r="J58" s="241">
        <f t="shared" ca="1" si="4"/>
        <v>46</v>
      </c>
      <c r="K58" s="241">
        <f t="shared" ca="1" si="4"/>
        <v>26.38</v>
      </c>
      <c r="L58" s="241">
        <f t="shared" ca="1" si="4"/>
        <v>46.7</v>
      </c>
      <c r="M58" s="241">
        <f t="shared" ca="1" si="4"/>
        <v>0</v>
      </c>
      <c r="N58" s="241">
        <f t="shared" ca="1" si="5"/>
        <v>165.26999999999998</v>
      </c>
    </row>
    <row r="60" spans="2:14">
      <c r="B60" s="238" t="s">
        <v>110</v>
      </c>
      <c r="G60" s="238" t="s">
        <v>347</v>
      </c>
    </row>
    <row r="61" spans="2:14">
      <c r="B61" s="238" t="s">
        <v>348</v>
      </c>
      <c r="D61" s="239" t="s">
        <v>349</v>
      </c>
      <c r="E61" s="239" t="s">
        <v>350</v>
      </c>
      <c r="G61" s="238" t="s">
        <v>86</v>
      </c>
      <c r="H61" s="238" t="s">
        <v>83</v>
      </c>
      <c r="I61" s="238" t="s">
        <v>82</v>
      </c>
      <c r="J61" s="238" t="s">
        <v>81</v>
      </c>
      <c r="K61" s="238" t="s">
        <v>80</v>
      </c>
      <c r="L61" s="238" t="s">
        <v>79</v>
      </c>
      <c r="M61" s="238" t="s">
        <v>78</v>
      </c>
      <c r="N61" s="238" t="s">
        <v>351</v>
      </c>
    </row>
    <row r="62" spans="2:14">
      <c r="D62" s="238" t="s">
        <v>157</v>
      </c>
      <c r="E62" s="238" t="s">
        <v>352</v>
      </c>
      <c r="G62" s="241">
        <f t="shared" ref="G62:M76" ca="1" si="6">SUMIF($F$172:$O$1011,(CONCATENATE(G$61," - ",$E62)),$J$172:$J$1011)</f>
        <v>8</v>
      </c>
      <c r="H62" s="241">
        <f t="shared" ca="1" si="6"/>
        <v>0</v>
      </c>
      <c r="I62" s="241">
        <f t="shared" ca="1" si="6"/>
        <v>0</v>
      </c>
      <c r="J62" s="241">
        <f t="shared" ca="1" si="6"/>
        <v>0</v>
      </c>
      <c r="K62" s="241">
        <f t="shared" ca="1" si="6"/>
        <v>0</v>
      </c>
      <c r="L62" s="241">
        <f t="shared" ca="1" si="6"/>
        <v>0</v>
      </c>
      <c r="M62" s="241">
        <f t="shared" ca="1" si="6"/>
        <v>0</v>
      </c>
      <c r="N62" s="241">
        <f t="shared" ref="N62:N76" ca="1" si="7">SUM(G62:M62)</f>
        <v>8</v>
      </c>
    </row>
    <row r="63" spans="2:14">
      <c r="D63" s="238" t="s">
        <v>186</v>
      </c>
      <c r="E63" s="238" t="s">
        <v>353</v>
      </c>
      <c r="G63" s="241">
        <f t="shared" ca="1" si="6"/>
        <v>5.6</v>
      </c>
      <c r="H63" s="241">
        <f t="shared" ca="1" si="6"/>
        <v>1.58</v>
      </c>
      <c r="I63" s="241">
        <f t="shared" ca="1" si="6"/>
        <v>0</v>
      </c>
      <c r="J63" s="241">
        <f t="shared" ca="1" si="6"/>
        <v>680.06</v>
      </c>
      <c r="K63" s="241">
        <f t="shared" ca="1" si="6"/>
        <v>2.97</v>
      </c>
      <c r="L63" s="241">
        <f t="shared" ca="1" si="6"/>
        <v>31.01</v>
      </c>
      <c r="M63" s="241">
        <f t="shared" ca="1" si="6"/>
        <v>43.82</v>
      </c>
      <c r="N63" s="241">
        <f t="shared" ca="1" si="7"/>
        <v>765.04</v>
      </c>
    </row>
    <row r="64" spans="2:14">
      <c r="D64" s="238" t="s">
        <v>247</v>
      </c>
      <c r="E64" s="238" t="s">
        <v>354</v>
      </c>
      <c r="G64" s="241">
        <f t="shared" ca="1" si="6"/>
        <v>6</v>
      </c>
      <c r="H64" s="241">
        <f t="shared" ca="1" si="6"/>
        <v>0</v>
      </c>
      <c r="I64" s="241">
        <f t="shared" ca="1" si="6"/>
        <v>0</v>
      </c>
      <c r="J64" s="241">
        <f t="shared" ca="1" si="6"/>
        <v>0</v>
      </c>
      <c r="K64" s="241">
        <f t="shared" ca="1" si="6"/>
        <v>2.38</v>
      </c>
      <c r="L64" s="241">
        <f t="shared" ca="1" si="6"/>
        <v>0</v>
      </c>
      <c r="M64" s="241">
        <f t="shared" ca="1" si="6"/>
        <v>23.2</v>
      </c>
      <c r="N64" s="241">
        <f t="shared" ca="1" si="7"/>
        <v>31.58</v>
      </c>
    </row>
    <row r="65" spans="2:14">
      <c r="D65" s="238" t="s">
        <v>159</v>
      </c>
      <c r="E65" s="238" t="s">
        <v>355</v>
      </c>
      <c r="G65" s="241">
        <f t="shared" ca="1" si="6"/>
        <v>2893.71</v>
      </c>
      <c r="H65" s="241">
        <f t="shared" ca="1" si="6"/>
        <v>5804.85</v>
      </c>
      <c r="I65" s="241">
        <f t="shared" ca="1" si="6"/>
        <v>3007.83</v>
      </c>
      <c r="J65" s="241">
        <f t="shared" ca="1" si="6"/>
        <v>5332.72</v>
      </c>
      <c r="K65" s="241">
        <f t="shared" ca="1" si="6"/>
        <v>8698.130000000001</v>
      </c>
      <c r="L65" s="241">
        <f t="shared" ca="1" si="6"/>
        <v>5951.4699999999993</v>
      </c>
      <c r="M65" s="241">
        <f t="shared" ca="1" si="6"/>
        <v>5781.96</v>
      </c>
      <c r="N65" s="241">
        <f t="shared" ca="1" si="7"/>
        <v>37470.67</v>
      </c>
    </row>
    <row r="66" spans="2:14">
      <c r="D66" s="238" t="s">
        <v>356</v>
      </c>
      <c r="E66" s="238" t="s">
        <v>357</v>
      </c>
      <c r="G66" s="241">
        <f t="shared" ca="1" si="6"/>
        <v>0</v>
      </c>
      <c r="H66" s="241">
        <f t="shared" ca="1" si="6"/>
        <v>0</v>
      </c>
      <c r="I66" s="241">
        <f t="shared" ca="1" si="6"/>
        <v>0</v>
      </c>
      <c r="J66" s="241">
        <f t="shared" ca="1" si="6"/>
        <v>0</v>
      </c>
      <c r="K66" s="241">
        <f t="shared" ca="1" si="6"/>
        <v>4.75</v>
      </c>
      <c r="L66" s="241">
        <f t="shared" ca="1" si="6"/>
        <v>0.77</v>
      </c>
      <c r="M66" s="241">
        <f t="shared" ca="1" si="6"/>
        <v>4.7799999999999994</v>
      </c>
      <c r="N66" s="241">
        <f t="shared" ca="1" si="7"/>
        <v>10.299999999999999</v>
      </c>
    </row>
    <row r="67" spans="2:14">
      <c r="D67" s="238" t="s">
        <v>161</v>
      </c>
      <c r="E67" s="238" t="s">
        <v>358</v>
      </c>
      <c r="G67" s="241">
        <f t="shared" ca="1" si="6"/>
        <v>208.3</v>
      </c>
      <c r="H67" s="241">
        <f t="shared" ca="1" si="6"/>
        <v>141.23999999999998</v>
      </c>
      <c r="I67" s="241">
        <f t="shared" ca="1" si="6"/>
        <v>122.27</v>
      </c>
      <c r="J67" s="241">
        <f t="shared" ca="1" si="6"/>
        <v>184</v>
      </c>
      <c r="K67" s="241">
        <f t="shared" ca="1" si="6"/>
        <v>216.48</v>
      </c>
      <c r="L67" s="241">
        <f t="shared" ca="1" si="6"/>
        <v>287.64</v>
      </c>
      <c r="M67" s="241">
        <f t="shared" ca="1" si="6"/>
        <v>755.39</v>
      </c>
      <c r="N67" s="241">
        <f t="shared" ca="1" si="7"/>
        <v>1915.3199999999997</v>
      </c>
    </row>
    <row r="68" spans="2:14">
      <c r="D68" s="238" t="s">
        <v>219</v>
      </c>
      <c r="E68" s="238" t="s">
        <v>359</v>
      </c>
      <c r="G68" s="241">
        <f t="shared" ca="1" si="6"/>
        <v>85.85</v>
      </c>
      <c r="H68" s="241">
        <f t="shared" ca="1" si="6"/>
        <v>284.52</v>
      </c>
      <c r="I68" s="241">
        <f t="shared" ca="1" si="6"/>
        <v>216.03</v>
      </c>
      <c r="J68" s="241">
        <f t="shared" ca="1" si="6"/>
        <v>471.66</v>
      </c>
      <c r="K68" s="241">
        <f t="shared" ca="1" si="6"/>
        <v>443.9</v>
      </c>
      <c r="L68" s="241">
        <f t="shared" ca="1" si="6"/>
        <v>164.98000000000002</v>
      </c>
      <c r="M68" s="241">
        <f t="shared" ca="1" si="6"/>
        <v>532.13</v>
      </c>
      <c r="N68" s="241">
        <f t="shared" ca="1" si="7"/>
        <v>2199.0700000000002</v>
      </c>
    </row>
    <row r="69" spans="2:14">
      <c r="D69" s="238" t="s">
        <v>228</v>
      </c>
      <c r="E69" s="238" t="s">
        <v>360</v>
      </c>
      <c r="G69" s="241">
        <f t="shared" ca="1" si="6"/>
        <v>15.48</v>
      </c>
      <c r="H69" s="241">
        <f t="shared" ca="1" si="6"/>
        <v>53.13</v>
      </c>
      <c r="I69" s="241">
        <f t="shared" ca="1" si="6"/>
        <v>0</v>
      </c>
      <c r="J69" s="241">
        <f t="shared" ca="1" si="6"/>
        <v>18.649999999999999</v>
      </c>
      <c r="K69" s="241">
        <f t="shared" ca="1" si="6"/>
        <v>37.14</v>
      </c>
      <c r="L69" s="241">
        <f t="shared" ca="1" si="6"/>
        <v>1.17</v>
      </c>
      <c r="M69" s="241">
        <f t="shared" ca="1" si="6"/>
        <v>260.56</v>
      </c>
      <c r="N69" s="241">
        <f t="shared" ca="1" si="7"/>
        <v>386.13</v>
      </c>
    </row>
    <row r="70" spans="2:14">
      <c r="D70" s="238" t="s">
        <v>231</v>
      </c>
      <c r="E70" s="238" t="s">
        <v>361</v>
      </c>
      <c r="G70" s="241">
        <f t="shared" ca="1" si="6"/>
        <v>16</v>
      </c>
      <c r="H70" s="241">
        <f t="shared" ca="1" si="6"/>
        <v>54.54</v>
      </c>
      <c r="I70" s="241">
        <f t="shared" ca="1" si="6"/>
        <v>310.09000000000003</v>
      </c>
      <c r="J70" s="241">
        <f t="shared" ca="1" si="6"/>
        <v>958.58999999999992</v>
      </c>
      <c r="K70" s="241">
        <f t="shared" ca="1" si="6"/>
        <v>616.37000000000012</v>
      </c>
      <c r="L70" s="241">
        <f t="shared" ca="1" si="6"/>
        <v>256.57</v>
      </c>
      <c r="M70" s="241">
        <f t="shared" ca="1" si="6"/>
        <v>904.08999999999992</v>
      </c>
      <c r="N70" s="241">
        <f t="shared" ca="1" si="7"/>
        <v>3116.25</v>
      </c>
    </row>
    <row r="71" spans="2:14">
      <c r="D71" s="238" t="s">
        <v>362</v>
      </c>
      <c r="E71" s="238" t="s">
        <v>363</v>
      </c>
      <c r="G71" s="241">
        <f t="shared" ca="1" si="6"/>
        <v>0</v>
      </c>
      <c r="H71" s="241">
        <f t="shared" ca="1" si="6"/>
        <v>0</v>
      </c>
      <c r="I71" s="241">
        <f t="shared" ca="1" si="6"/>
        <v>0</v>
      </c>
      <c r="J71" s="241">
        <f t="shared" ca="1" si="6"/>
        <v>9</v>
      </c>
      <c r="K71" s="241">
        <f t="shared" ca="1" si="6"/>
        <v>0</v>
      </c>
      <c r="L71" s="241">
        <f t="shared" ca="1" si="6"/>
        <v>0</v>
      </c>
      <c r="M71" s="241">
        <f t="shared" ca="1" si="6"/>
        <v>0</v>
      </c>
      <c r="N71" s="241">
        <f t="shared" ca="1" si="7"/>
        <v>9</v>
      </c>
    </row>
    <row r="72" spans="2:14">
      <c r="D72" s="238" t="s">
        <v>364</v>
      </c>
      <c r="E72" s="238" t="s">
        <v>365</v>
      </c>
      <c r="G72" s="241">
        <f t="shared" ca="1" si="6"/>
        <v>22</v>
      </c>
      <c r="H72" s="241">
        <f t="shared" ca="1" si="6"/>
        <v>0</v>
      </c>
      <c r="I72" s="241">
        <f t="shared" ca="1" si="6"/>
        <v>0</v>
      </c>
      <c r="J72" s="241">
        <f t="shared" ca="1" si="6"/>
        <v>0</v>
      </c>
      <c r="K72" s="241">
        <f t="shared" ca="1" si="6"/>
        <v>0</v>
      </c>
      <c r="L72" s="241">
        <f t="shared" ca="1" si="6"/>
        <v>0</v>
      </c>
      <c r="M72" s="241">
        <f t="shared" ca="1" si="6"/>
        <v>0</v>
      </c>
      <c r="N72" s="241">
        <f t="shared" ca="1" si="7"/>
        <v>22</v>
      </c>
    </row>
    <row r="73" spans="2:14">
      <c r="D73" s="238" t="s">
        <v>235</v>
      </c>
      <c r="E73" s="238" t="s">
        <v>366</v>
      </c>
      <c r="G73" s="241">
        <f t="shared" ca="1" si="6"/>
        <v>3.2</v>
      </c>
      <c r="H73" s="241">
        <f t="shared" ca="1" si="6"/>
        <v>43.8</v>
      </c>
      <c r="I73" s="241">
        <f t="shared" ca="1" si="6"/>
        <v>0</v>
      </c>
      <c r="J73" s="241">
        <f t="shared" ca="1" si="6"/>
        <v>14.92</v>
      </c>
      <c r="K73" s="241">
        <f t="shared" ca="1" si="6"/>
        <v>20</v>
      </c>
      <c r="L73" s="241">
        <f t="shared" ca="1" si="6"/>
        <v>41.57</v>
      </c>
      <c r="M73" s="241">
        <f t="shared" ca="1" si="6"/>
        <v>116.44999999999999</v>
      </c>
      <c r="N73" s="241">
        <f t="shared" ca="1" si="7"/>
        <v>239.94</v>
      </c>
    </row>
    <row r="74" spans="2:14">
      <c r="D74" s="238" t="s">
        <v>367</v>
      </c>
      <c r="E74" s="238" t="s">
        <v>368</v>
      </c>
      <c r="G74" s="241">
        <f t="shared" ca="1" si="6"/>
        <v>427.29</v>
      </c>
      <c r="H74" s="241">
        <f t="shared" ca="1" si="6"/>
        <v>368.89</v>
      </c>
      <c r="I74" s="241">
        <f t="shared" ca="1" si="6"/>
        <v>346.98</v>
      </c>
      <c r="J74" s="241">
        <f t="shared" ca="1" si="6"/>
        <v>391.78999999999996</v>
      </c>
      <c r="K74" s="241">
        <f t="shared" ca="1" si="6"/>
        <v>216</v>
      </c>
      <c r="L74" s="241">
        <f t="shared" ca="1" si="6"/>
        <v>199.14</v>
      </c>
      <c r="M74" s="241">
        <f t="shared" ca="1" si="6"/>
        <v>214.41</v>
      </c>
      <c r="N74" s="241">
        <f t="shared" ca="1" si="7"/>
        <v>2164.5</v>
      </c>
    </row>
    <row r="75" spans="2:14">
      <c r="D75" s="238" t="s">
        <v>216</v>
      </c>
      <c r="E75" s="238" t="s">
        <v>369</v>
      </c>
      <c r="G75" s="241">
        <f t="shared" ca="1" si="6"/>
        <v>0</v>
      </c>
      <c r="H75" s="241">
        <f t="shared" ca="1" si="6"/>
        <v>0</v>
      </c>
      <c r="I75" s="241">
        <f t="shared" ca="1" si="6"/>
        <v>50.62</v>
      </c>
      <c r="J75" s="241">
        <f t="shared" ca="1" si="6"/>
        <v>86</v>
      </c>
      <c r="K75" s="241">
        <f t="shared" ca="1" si="6"/>
        <v>0</v>
      </c>
      <c r="L75" s="241">
        <f t="shared" ca="1" si="6"/>
        <v>19</v>
      </c>
      <c r="M75" s="241">
        <f t="shared" ca="1" si="6"/>
        <v>27.49</v>
      </c>
      <c r="N75" s="241">
        <f t="shared" ca="1" si="7"/>
        <v>183.11</v>
      </c>
    </row>
    <row r="76" spans="2:14">
      <c r="D76" s="238" t="s">
        <v>370</v>
      </c>
      <c r="E76" s="238" t="s">
        <v>371</v>
      </c>
      <c r="G76" s="241">
        <f t="shared" ca="1" si="6"/>
        <v>10.54</v>
      </c>
      <c r="H76" s="241">
        <f t="shared" ca="1" si="6"/>
        <v>0</v>
      </c>
      <c r="I76" s="241">
        <f t="shared" ca="1" si="6"/>
        <v>1.21</v>
      </c>
      <c r="J76" s="241">
        <f t="shared" ca="1" si="6"/>
        <v>31.310000000000002</v>
      </c>
      <c r="K76" s="241">
        <f t="shared" ca="1" si="6"/>
        <v>1.44</v>
      </c>
      <c r="L76" s="241">
        <f t="shared" ca="1" si="6"/>
        <v>83.240000000000009</v>
      </c>
      <c r="M76" s="241">
        <f t="shared" ca="1" si="6"/>
        <v>31.380000000000003</v>
      </c>
      <c r="N76" s="241">
        <f t="shared" ca="1" si="7"/>
        <v>159.12</v>
      </c>
    </row>
    <row r="78" spans="2:14">
      <c r="B78" s="238" t="s">
        <v>108</v>
      </c>
      <c r="G78" s="238" t="s">
        <v>347</v>
      </c>
    </row>
    <row r="79" spans="2:14">
      <c r="B79" s="238" t="s">
        <v>348</v>
      </c>
      <c r="D79" s="239" t="s">
        <v>349</v>
      </c>
      <c r="E79" s="239" t="s">
        <v>350</v>
      </c>
      <c r="G79" s="238" t="s">
        <v>86</v>
      </c>
      <c r="H79" s="238" t="s">
        <v>83</v>
      </c>
      <c r="I79" s="238" t="s">
        <v>82</v>
      </c>
      <c r="J79" s="238" t="s">
        <v>81</v>
      </c>
      <c r="K79" s="238" t="s">
        <v>80</v>
      </c>
      <c r="L79" s="238" t="s">
        <v>79</v>
      </c>
      <c r="M79" s="238" t="s">
        <v>78</v>
      </c>
      <c r="N79" s="238" t="s">
        <v>351</v>
      </c>
    </row>
    <row r="80" spans="2:14">
      <c r="D80" s="238" t="s">
        <v>157</v>
      </c>
      <c r="E80" s="238" t="s">
        <v>352</v>
      </c>
      <c r="G80" s="241">
        <f t="shared" ref="G80:M94" ca="1" si="8">SUMIF($F$172:$O$1011,(CONCATENATE(G$79," - ",$E80)),$K$172:$K$1011)</f>
        <v>0.8</v>
      </c>
      <c r="H80" s="241">
        <f t="shared" ca="1" si="8"/>
        <v>0</v>
      </c>
      <c r="I80" s="241">
        <f t="shared" ca="1" si="8"/>
        <v>2.2599999999999998</v>
      </c>
      <c r="J80" s="241">
        <f t="shared" ca="1" si="8"/>
        <v>0</v>
      </c>
      <c r="K80" s="241">
        <f t="shared" ca="1" si="8"/>
        <v>0</v>
      </c>
      <c r="L80" s="241">
        <f t="shared" ca="1" si="8"/>
        <v>0</v>
      </c>
      <c r="M80" s="241">
        <f t="shared" ca="1" si="8"/>
        <v>1</v>
      </c>
      <c r="N80" s="241">
        <f t="shared" ref="N80:N94" ca="1" si="9">SUM(G80:M80)</f>
        <v>4.0599999999999996</v>
      </c>
    </row>
    <row r="81" spans="2:14">
      <c r="D81" s="238" t="s">
        <v>186</v>
      </c>
      <c r="E81" s="238" t="s">
        <v>353</v>
      </c>
      <c r="G81" s="241">
        <f t="shared" ca="1" si="8"/>
        <v>0</v>
      </c>
      <c r="H81" s="241">
        <f t="shared" ca="1" si="8"/>
        <v>0.88</v>
      </c>
      <c r="I81" s="241">
        <f t="shared" ca="1" si="8"/>
        <v>4.1900000000000004</v>
      </c>
      <c r="J81" s="241">
        <f t="shared" ca="1" si="8"/>
        <v>52</v>
      </c>
      <c r="K81" s="241">
        <f t="shared" ca="1" si="8"/>
        <v>58.83</v>
      </c>
      <c r="L81" s="241">
        <f t="shared" ca="1" si="8"/>
        <v>21.4</v>
      </c>
      <c r="M81" s="241">
        <f t="shared" ca="1" si="8"/>
        <v>12.51</v>
      </c>
      <c r="N81" s="241">
        <f t="shared" ca="1" si="9"/>
        <v>149.81</v>
      </c>
    </row>
    <row r="82" spans="2:14">
      <c r="D82" s="238" t="s">
        <v>247</v>
      </c>
      <c r="E82" s="238" t="s">
        <v>354</v>
      </c>
      <c r="G82" s="241">
        <f t="shared" ca="1" si="8"/>
        <v>0</v>
      </c>
      <c r="H82" s="241">
        <f t="shared" ca="1" si="8"/>
        <v>0</v>
      </c>
      <c r="I82" s="241">
        <f t="shared" ca="1" si="8"/>
        <v>0</v>
      </c>
      <c r="J82" s="241">
        <f t="shared" ca="1" si="8"/>
        <v>0</v>
      </c>
      <c r="K82" s="241">
        <f t="shared" ca="1" si="8"/>
        <v>1.39</v>
      </c>
      <c r="L82" s="241">
        <f t="shared" ca="1" si="8"/>
        <v>56</v>
      </c>
      <c r="M82" s="241">
        <f t="shared" ca="1" si="8"/>
        <v>79.459999999999994</v>
      </c>
      <c r="N82" s="241">
        <f t="shared" ca="1" si="9"/>
        <v>136.85</v>
      </c>
    </row>
    <row r="83" spans="2:14">
      <c r="D83" s="238" t="s">
        <v>159</v>
      </c>
      <c r="E83" s="238" t="s">
        <v>355</v>
      </c>
      <c r="G83" s="241">
        <f t="shared" ca="1" si="8"/>
        <v>8148.6100000000006</v>
      </c>
      <c r="H83" s="241">
        <f t="shared" ca="1" si="8"/>
        <v>10873.11</v>
      </c>
      <c r="I83" s="241">
        <f t="shared" ca="1" si="8"/>
        <v>3923.5899999999997</v>
      </c>
      <c r="J83" s="241">
        <f t="shared" ca="1" si="8"/>
        <v>6046.59</v>
      </c>
      <c r="K83" s="241">
        <f t="shared" ca="1" si="8"/>
        <v>3951.64</v>
      </c>
      <c r="L83" s="241">
        <f t="shared" ca="1" si="8"/>
        <v>4259.7400000000007</v>
      </c>
      <c r="M83" s="241">
        <f t="shared" ca="1" si="8"/>
        <v>3465.46</v>
      </c>
      <c r="N83" s="241">
        <f t="shared" ca="1" si="9"/>
        <v>40668.74</v>
      </c>
    </row>
    <row r="84" spans="2:14">
      <c r="D84" s="238" t="s">
        <v>356</v>
      </c>
      <c r="E84" s="238" t="s">
        <v>357</v>
      </c>
      <c r="G84" s="241">
        <f t="shared" ca="1" si="8"/>
        <v>0.15</v>
      </c>
      <c r="H84" s="241">
        <f t="shared" ca="1" si="8"/>
        <v>0</v>
      </c>
      <c r="I84" s="241">
        <f t="shared" ca="1" si="8"/>
        <v>0</v>
      </c>
      <c r="J84" s="241">
        <f t="shared" ca="1" si="8"/>
        <v>0</v>
      </c>
      <c r="K84" s="241">
        <f t="shared" ca="1" si="8"/>
        <v>0</v>
      </c>
      <c r="L84" s="241">
        <f t="shared" ca="1" si="8"/>
        <v>2</v>
      </c>
      <c r="M84" s="241">
        <f t="shared" ca="1" si="8"/>
        <v>1.18</v>
      </c>
      <c r="N84" s="241">
        <f t="shared" ca="1" si="9"/>
        <v>3.33</v>
      </c>
    </row>
    <row r="85" spans="2:14">
      <c r="D85" s="238" t="s">
        <v>161</v>
      </c>
      <c r="E85" s="238" t="s">
        <v>358</v>
      </c>
      <c r="G85" s="241">
        <f t="shared" ca="1" si="8"/>
        <v>153.63</v>
      </c>
      <c r="H85" s="241">
        <f t="shared" ca="1" si="8"/>
        <v>121.38</v>
      </c>
      <c r="I85" s="241">
        <f t="shared" ca="1" si="8"/>
        <v>122.17</v>
      </c>
      <c r="J85" s="241">
        <f t="shared" ca="1" si="8"/>
        <v>159.63999999999999</v>
      </c>
      <c r="K85" s="241">
        <f t="shared" ca="1" si="8"/>
        <v>234.96</v>
      </c>
      <c r="L85" s="241">
        <f t="shared" ca="1" si="8"/>
        <v>324.47000000000003</v>
      </c>
      <c r="M85" s="241">
        <f t="shared" ca="1" si="8"/>
        <v>368.53999999999996</v>
      </c>
      <c r="N85" s="241">
        <f t="shared" ca="1" si="9"/>
        <v>1484.79</v>
      </c>
    </row>
    <row r="86" spans="2:14">
      <c r="D86" s="238" t="s">
        <v>219</v>
      </c>
      <c r="E86" s="238" t="s">
        <v>359</v>
      </c>
      <c r="G86" s="241">
        <f t="shared" ca="1" si="8"/>
        <v>697.27</v>
      </c>
      <c r="H86" s="241">
        <f t="shared" ca="1" si="8"/>
        <v>290.26</v>
      </c>
      <c r="I86" s="241">
        <f t="shared" ca="1" si="8"/>
        <v>454.18</v>
      </c>
      <c r="J86" s="241">
        <f t="shared" ca="1" si="8"/>
        <v>314.15999999999997</v>
      </c>
      <c r="K86" s="241">
        <f t="shared" ca="1" si="8"/>
        <v>294.24</v>
      </c>
      <c r="L86" s="241">
        <f t="shared" ca="1" si="8"/>
        <v>131.97</v>
      </c>
      <c r="M86" s="241">
        <f t="shared" ca="1" si="8"/>
        <v>136.97</v>
      </c>
      <c r="N86" s="241">
        <f t="shared" ca="1" si="9"/>
        <v>2319.0499999999993</v>
      </c>
    </row>
    <row r="87" spans="2:14">
      <c r="D87" s="238" t="s">
        <v>228</v>
      </c>
      <c r="E87" s="238" t="s">
        <v>360</v>
      </c>
      <c r="G87" s="241">
        <f t="shared" ca="1" si="8"/>
        <v>37.270000000000003</v>
      </c>
      <c r="H87" s="241">
        <f t="shared" ca="1" si="8"/>
        <v>10.31</v>
      </c>
      <c r="I87" s="241">
        <f t="shared" ca="1" si="8"/>
        <v>88.02</v>
      </c>
      <c r="J87" s="241">
        <f t="shared" ca="1" si="8"/>
        <v>39.299999999999997</v>
      </c>
      <c r="K87" s="241">
        <f t="shared" ca="1" si="8"/>
        <v>26.68</v>
      </c>
      <c r="L87" s="241">
        <f t="shared" ca="1" si="8"/>
        <v>96</v>
      </c>
      <c r="M87" s="241">
        <f t="shared" ca="1" si="8"/>
        <v>46.36</v>
      </c>
      <c r="N87" s="241">
        <f t="shared" ca="1" si="9"/>
        <v>343.94</v>
      </c>
    </row>
    <row r="88" spans="2:14">
      <c r="D88" s="238" t="s">
        <v>231</v>
      </c>
      <c r="E88" s="238" t="s">
        <v>361</v>
      </c>
      <c r="G88" s="241">
        <f t="shared" ca="1" si="8"/>
        <v>114.05</v>
      </c>
      <c r="H88" s="241">
        <f t="shared" ca="1" si="8"/>
        <v>138.5</v>
      </c>
      <c r="I88" s="241">
        <f t="shared" ca="1" si="8"/>
        <v>156.16</v>
      </c>
      <c r="J88" s="241">
        <f t="shared" ca="1" si="8"/>
        <v>152.4</v>
      </c>
      <c r="K88" s="241">
        <f t="shared" ca="1" si="8"/>
        <v>74.86</v>
      </c>
      <c r="L88" s="241">
        <f t="shared" ca="1" si="8"/>
        <v>175.19</v>
      </c>
      <c r="M88" s="241">
        <f t="shared" ca="1" si="8"/>
        <v>82.9</v>
      </c>
      <c r="N88" s="241">
        <f t="shared" ca="1" si="9"/>
        <v>894.06000000000006</v>
      </c>
    </row>
    <row r="89" spans="2:14">
      <c r="D89" s="238" t="s">
        <v>362</v>
      </c>
      <c r="E89" s="238" t="s">
        <v>363</v>
      </c>
      <c r="G89" s="241">
        <f t="shared" ca="1" si="8"/>
        <v>0</v>
      </c>
      <c r="H89" s="241">
        <f t="shared" ca="1" si="8"/>
        <v>0</v>
      </c>
      <c r="I89" s="241">
        <f t="shared" ca="1" si="8"/>
        <v>0</v>
      </c>
      <c r="J89" s="241">
        <f t="shared" ca="1" si="8"/>
        <v>2</v>
      </c>
      <c r="K89" s="241">
        <f t="shared" ca="1" si="8"/>
        <v>4.5</v>
      </c>
      <c r="L89" s="241">
        <f t="shared" ca="1" si="8"/>
        <v>192.7</v>
      </c>
      <c r="M89" s="241">
        <f t="shared" ca="1" si="8"/>
        <v>185</v>
      </c>
      <c r="N89" s="241">
        <f t="shared" ca="1" si="9"/>
        <v>384.2</v>
      </c>
    </row>
    <row r="90" spans="2:14">
      <c r="D90" s="238" t="s">
        <v>364</v>
      </c>
      <c r="E90" s="238" t="s">
        <v>365</v>
      </c>
      <c r="G90" s="241">
        <f t="shared" ca="1" si="8"/>
        <v>0</v>
      </c>
      <c r="H90" s="241">
        <f t="shared" ca="1" si="8"/>
        <v>0</v>
      </c>
      <c r="I90" s="241">
        <f t="shared" ca="1" si="8"/>
        <v>0</v>
      </c>
      <c r="J90" s="241">
        <f t="shared" ca="1" si="8"/>
        <v>0</v>
      </c>
      <c r="K90" s="241">
        <f t="shared" ca="1" si="8"/>
        <v>3</v>
      </c>
      <c r="L90" s="241">
        <f t="shared" ca="1" si="8"/>
        <v>0</v>
      </c>
      <c r="M90" s="241">
        <f t="shared" ca="1" si="8"/>
        <v>0</v>
      </c>
      <c r="N90" s="241">
        <f t="shared" ca="1" si="9"/>
        <v>3</v>
      </c>
    </row>
    <row r="91" spans="2:14">
      <c r="D91" s="238" t="s">
        <v>235</v>
      </c>
      <c r="E91" s="238" t="s">
        <v>366</v>
      </c>
      <c r="G91" s="241">
        <f t="shared" ca="1" si="8"/>
        <v>88.41</v>
      </c>
      <c r="H91" s="241">
        <f t="shared" ca="1" si="8"/>
        <v>25.990000000000002</v>
      </c>
      <c r="I91" s="241">
        <f t="shared" ca="1" si="8"/>
        <v>179.35</v>
      </c>
      <c r="J91" s="241">
        <f t="shared" ca="1" si="8"/>
        <v>183.52</v>
      </c>
      <c r="K91" s="241">
        <f t="shared" ca="1" si="8"/>
        <v>163.41</v>
      </c>
      <c r="L91" s="241">
        <f t="shared" ca="1" si="8"/>
        <v>94.08</v>
      </c>
      <c r="M91" s="241">
        <f t="shared" ca="1" si="8"/>
        <v>110.94999999999999</v>
      </c>
      <c r="N91" s="241">
        <f t="shared" ca="1" si="9"/>
        <v>845.71</v>
      </c>
    </row>
    <row r="92" spans="2:14">
      <c r="D92" s="238" t="s">
        <v>367</v>
      </c>
      <c r="E92" s="238" t="s">
        <v>368</v>
      </c>
      <c r="G92" s="241">
        <f t="shared" ca="1" si="8"/>
        <v>0.16</v>
      </c>
      <c r="H92" s="241">
        <f t="shared" ca="1" si="8"/>
        <v>1104.6199999999999</v>
      </c>
      <c r="I92" s="241">
        <f t="shared" ca="1" si="8"/>
        <v>1075.6399999999999</v>
      </c>
      <c r="J92" s="241">
        <f t="shared" ca="1" si="8"/>
        <v>19.100000000000001</v>
      </c>
      <c r="K92" s="241">
        <f t="shared" ca="1" si="8"/>
        <v>54.14</v>
      </c>
      <c r="L92" s="241">
        <f t="shared" ca="1" si="8"/>
        <v>22.08</v>
      </c>
      <c r="M92" s="241">
        <f t="shared" ca="1" si="8"/>
        <v>570.1</v>
      </c>
      <c r="N92" s="241">
        <f t="shared" ca="1" si="9"/>
        <v>2845.8399999999997</v>
      </c>
    </row>
    <row r="93" spans="2:14">
      <c r="D93" s="238" t="s">
        <v>216</v>
      </c>
      <c r="E93" s="238" t="s">
        <v>369</v>
      </c>
      <c r="G93" s="241">
        <f t="shared" ca="1" si="8"/>
        <v>50.78</v>
      </c>
      <c r="H93" s="241">
        <f t="shared" ca="1" si="8"/>
        <v>30.19</v>
      </c>
      <c r="I93" s="241">
        <f t="shared" ca="1" si="8"/>
        <v>19.579999999999998</v>
      </c>
      <c r="J93" s="241">
        <f t="shared" ca="1" si="8"/>
        <v>147</v>
      </c>
      <c r="K93" s="241">
        <f t="shared" ca="1" si="8"/>
        <v>333.01</v>
      </c>
      <c r="L93" s="241">
        <f t="shared" ca="1" si="8"/>
        <v>711</v>
      </c>
      <c r="M93" s="241">
        <f t="shared" ca="1" si="8"/>
        <v>211.17000000000002</v>
      </c>
      <c r="N93" s="241">
        <f t="shared" ca="1" si="9"/>
        <v>1502.73</v>
      </c>
    </row>
    <row r="94" spans="2:14">
      <c r="D94" s="238" t="s">
        <v>370</v>
      </c>
      <c r="E94" s="238" t="s">
        <v>371</v>
      </c>
      <c r="G94" s="241">
        <f t="shared" ca="1" si="8"/>
        <v>0.87</v>
      </c>
      <c r="H94" s="241">
        <f t="shared" ca="1" si="8"/>
        <v>0</v>
      </c>
      <c r="I94" s="241">
        <f t="shared" ca="1" si="8"/>
        <v>0.73</v>
      </c>
      <c r="J94" s="241">
        <f t="shared" ca="1" si="8"/>
        <v>0</v>
      </c>
      <c r="K94" s="241">
        <f t="shared" ca="1" si="8"/>
        <v>0</v>
      </c>
      <c r="L94" s="241">
        <f t="shared" ca="1" si="8"/>
        <v>0</v>
      </c>
      <c r="M94" s="241">
        <f t="shared" ca="1" si="8"/>
        <v>0.71</v>
      </c>
      <c r="N94" s="241">
        <f t="shared" ca="1" si="9"/>
        <v>2.31</v>
      </c>
    </row>
    <row r="96" spans="2:14">
      <c r="B96" s="238" t="s">
        <v>122</v>
      </c>
      <c r="G96" s="238" t="s">
        <v>347</v>
      </c>
    </row>
    <row r="97" spans="2:14">
      <c r="B97" s="238" t="s">
        <v>348</v>
      </c>
      <c r="D97" s="239" t="s">
        <v>349</v>
      </c>
      <c r="E97" s="239" t="s">
        <v>350</v>
      </c>
      <c r="G97" s="238" t="s">
        <v>86</v>
      </c>
      <c r="H97" s="238" t="s">
        <v>83</v>
      </c>
      <c r="I97" s="238" t="s">
        <v>82</v>
      </c>
      <c r="J97" s="238" t="s">
        <v>81</v>
      </c>
      <c r="K97" s="238" t="s">
        <v>80</v>
      </c>
      <c r="L97" s="238" t="s">
        <v>79</v>
      </c>
      <c r="M97" s="238" t="s">
        <v>78</v>
      </c>
      <c r="N97" s="238" t="s">
        <v>351</v>
      </c>
    </row>
    <row r="98" spans="2:14">
      <c r="D98" s="238" t="s">
        <v>157</v>
      </c>
      <c r="E98" s="238" t="s">
        <v>352</v>
      </c>
      <c r="G98" s="241">
        <f t="shared" ref="G98:M112" ca="1" si="10">SUMIF($F$172:$O$1011,(CONCATENATE(G$97," - ",$E98)),$L$172:$L$1011)</f>
        <v>0</v>
      </c>
      <c r="H98" s="241">
        <f t="shared" ca="1" si="10"/>
        <v>0</v>
      </c>
      <c r="I98" s="241">
        <f t="shared" ca="1" si="10"/>
        <v>0</v>
      </c>
      <c r="J98" s="241">
        <f t="shared" ca="1" si="10"/>
        <v>0</v>
      </c>
      <c r="K98" s="241">
        <f t="shared" ca="1" si="10"/>
        <v>0</v>
      </c>
      <c r="L98" s="241">
        <f t="shared" ca="1" si="10"/>
        <v>0</v>
      </c>
      <c r="M98" s="241">
        <f t="shared" ca="1" si="10"/>
        <v>112</v>
      </c>
      <c r="N98" s="241">
        <f t="shared" ref="N98:N112" ca="1" si="11">SUM(G98:M98)</f>
        <v>112</v>
      </c>
    </row>
    <row r="99" spans="2:14">
      <c r="D99" s="238" t="s">
        <v>186</v>
      </c>
      <c r="E99" s="238" t="s">
        <v>353</v>
      </c>
      <c r="G99" s="241">
        <f t="shared" ca="1" si="10"/>
        <v>178.15</v>
      </c>
      <c r="H99" s="241">
        <f t="shared" ca="1" si="10"/>
        <v>21.43</v>
      </c>
      <c r="I99" s="241">
        <f t="shared" ca="1" si="10"/>
        <v>8.6800000000000015</v>
      </c>
      <c r="J99" s="241">
        <f t="shared" ca="1" si="10"/>
        <v>8</v>
      </c>
      <c r="K99" s="241">
        <f t="shared" ca="1" si="10"/>
        <v>2.06</v>
      </c>
      <c r="L99" s="241">
        <f t="shared" ca="1" si="10"/>
        <v>29</v>
      </c>
      <c r="M99" s="241">
        <f t="shared" ca="1" si="10"/>
        <v>2</v>
      </c>
      <c r="N99" s="241">
        <f t="shared" ca="1" si="11"/>
        <v>249.32000000000002</v>
      </c>
    </row>
    <row r="100" spans="2:14">
      <c r="D100" s="238" t="s">
        <v>247</v>
      </c>
      <c r="E100" s="238" t="s">
        <v>354</v>
      </c>
      <c r="G100" s="241">
        <f t="shared" ca="1" si="10"/>
        <v>0</v>
      </c>
      <c r="H100" s="241">
        <f t="shared" ca="1" si="10"/>
        <v>0.64</v>
      </c>
      <c r="I100" s="241">
        <f t="shared" ca="1" si="10"/>
        <v>0.32</v>
      </c>
      <c r="J100" s="241">
        <f t="shared" ca="1" si="10"/>
        <v>0</v>
      </c>
      <c r="K100" s="241">
        <f t="shared" ca="1" si="10"/>
        <v>1.21</v>
      </c>
      <c r="L100" s="241">
        <f t="shared" ca="1" si="10"/>
        <v>1</v>
      </c>
      <c r="M100" s="241">
        <f t="shared" ca="1" si="10"/>
        <v>0</v>
      </c>
      <c r="N100" s="241">
        <f t="shared" ca="1" si="11"/>
        <v>3.17</v>
      </c>
    </row>
    <row r="101" spans="2:14">
      <c r="D101" s="238" t="s">
        <v>159</v>
      </c>
      <c r="E101" s="238" t="s">
        <v>355</v>
      </c>
      <c r="G101" s="241">
        <f t="shared" ca="1" si="10"/>
        <v>4699.67</v>
      </c>
      <c r="H101" s="241">
        <f t="shared" ca="1" si="10"/>
        <v>8183.2300000000005</v>
      </c>
      <c r="I101" s="241">
        <f t="shared" ca="1" si="10"/>
        <v>6189.93</v>
      </c>
      <c r="J101" s="241">
        <f t="shared" ca="1" si="10"/>
        <v>8733.1200000000008</v>
      </c>
      <c r="K101" s="241">
        <f t="shared" ca="1" si="10"/>
        <v>6439.95</v>
      </c>
      <c r="L101" s="241">
        <f t="shared" ca="1" si="10"/>
        <v>12597.74</v>
      </c>
      <c r="M101" s="241">
        <f t="shared" ca="1" si="10"/>
        <v>11139.64</v>
      </c>
      <c r="N101" s="241">
        <f t="shared" ca="1" si="11"/>
        <v>57983.28</v>
      </c>
    </row>
    <row r="102" spans="2:14">
      <c r="D102" s="238" t="s">
        <v>356</v>
      </c>
      <c r="E102" s="238" t="s">
        <v>357</v>
      </c>
      <c r="G102" s="241">
        <f t="shared" ca="1" si="10"/>
        <v>0.03</v>
      </c>
      <c r="H102" s="241">
        <f t="shared" ca="1" si="10"/>
        <v>0.11</v>
      </c>
      <c r="I102" s="241">
        <f t="shared" ca="1" si="10"/>
        <v>0.11</v>
      </c>
      <c r="J102" s="241">
        <f t="shared" ca="1" si="10"/>
        <v>0</v>
      </c>
      <c r="K102" s="241">
        <f t="shared" ca="1" si="10"/>
        <v>0</v>
      </c>
      <c r="L102" s="241">
        <f t="shared" ca="1" si="10"/>
        <v>0</v>
      </c>
      <c r="M102" s="241">
        <f t="shared" ca="1" si="10"/>
        <v>0</v>
      </c>
      <c r="N102" s="241">
        <f t="shared" ca="1" si="11"/>
        <v>0.25</v>
      </c>
    </row>
    <row r="103" spans="2:14">
      <c r="D103" s="238" t="s">
        <v>161</v>
      </c>
      <c r="E103" s="238" t="s">
        <v>358</v>
      </c>
      <c r="G103" s="241">
        <f t="shared" ca="1" si="10"/>
        <v>2.5299999999999998</v>
      </c>
      <c r="H103" s="241">
        <f t="shared" ca="1" si="10"/>
        <v>6.28</v>
      </c>
      <c r="I103" s="241">
        <f t="shared" ca="1" si="10"/>
        <v>2.2000000000000002</v>
      </c>
      <c r="J103" s="241">
        <f t="shared" ca="1" si="10"/>
        <v>4</v>
      </c>
      <c r="K103" s="241">
        <f t="shared" ca="1" si="10"/>
        <v>0.14000000000000001</v>
      </c>
      <c r="L103" s="241">
        <f t="shared" ca="1" si="10"/>
        <v>2</v>
      </c>
      <c r="M103" s="241">
        <f t="shared" ca="1" si="10"/>
        <v>2</v>
      </c>
      <c r="N103" s="241">
        <f t="shared" ca="1" si="11"/>
        <v>19.150000000000002</v>
      </c>
    </row>
    <row r="104" spans="2:14">
      <c r="D104" s="238" t="s">
        <v>219</v>
      </c>
      <c r="E104" s="238" t="s">
        <v>359</v>
      </c>
      <c r="G104" s="241">
        <f t="shared" ca="1" si="10"/>
        <v>394.61</v>
      </c>
      <c r="H104" s="241">
        <f t="shared" ca="1" si="10"/>
        <v>764.77</v>
      </c>
      <c r="I104" s="241">
        <f t="shared" ca="1" si="10"/>
        <v>984.2</v>
      </c>
      <c r="J104" s="241">
        <f t="shared" ca="1" si="10"/>
        <v>737</v>
      </c>
      <c r="K104" s="241">
        <f t="shared" ca="1" si="10"/>
        <v>366.82</v>
      </c>
      <c r="L104" s="241">
        <f t="shared" ca="1" si="10"/>
        <v>531</v>
      </c>
      <c r="M104" s="241">
        <f t="shared" ca="1" si="10"/>
        <v>273</v>
      </c>
      <c r="N104" s="241">
        <f t="shared" ca="1" si="11"/>
        <v>4051.4</v>
      </c>
    </row>
    <row r="105" spans="2:14">
      <c r="D105" s="238" t="s">
        <v>228</v>
      </c>
      <c r="E105" s="238" t="s">
        <v>360</v>
      </c>
      <c r="G105" s="241">
        <f t="shared" ca="1" si="10"/>
        <v>0.31</v>
      </c>
      <c r="H105" s="241">
        <f t="shared" ca="1" si="10"/>
        <v>9.42</v>
      </c>
      <c r="I105" s="241">
        <f t="shared" ca="1" si="10"/>
        <v>9.5399999999999991</v>
      </c>
      <c r="J105" s="241">
        <f t="shared" ca="1" si="10"/>
        <v>4</v>
      </c>
      <c r="K105" s="241">
        <f t="shared" ca="1" si="10"/>
        <v>0.16</v>
      </c>
      <c r="L105" s="241">
        <f t="shared" ca="1" si="10"/>
        <v>0</v>
      </c>
      <c r="M105" s="241">
        <f t="shared" ca="1" si="10"/>
        <v>0</v>
      </c>
      <c r="N105" s="241">
        <f t="shared" ca="1" si="11"/>
        <v>23.43</v>
      </c>
    </row>
    <row r="106" spans="2:14">
      <c r="D106" s="238" t="s">
        <v>231</v>
      </c>
      <c r="E106" s="238" t="s">
        <v>361</v>
      </c>
      <c r="G106" s="241">
        <f t="shared" ca="1" si="10"/>
        <v>679.43</v>
      </c>
      <c r="H106" s="241">
        <f t="shared" ca="1" si="10"/>
        <v>325.53000000000003</v>
      </c>
      <c r="I106" s="241">
        <f t="shared" ca="1" si="10"/>
        <v>304.69</v>
      </c>
      <c r="J106" s="241">
        <f t="shared" ca="1" si="10"/>
        <v>240.38</v>
      </c>
      <c r="K106" s="241">
        <f t="shared" ca="1" si="10"/>
        <v>359.58000000000004</v>
      </c>
      <c r="L106" s="241">
        <f t="shared" ca="1" si="10"/>
        <v>519.56000000000006</v>
      </c>
      <c r="M106" s="241">
        <f t="shared" ca="1" si="10"/>
        <v>168.39000000000001</v>
      </c>
      <c r="N106" s="241">
        <f t="shared" ca="1" si="11"/>
        <v>2597.56</v>
      </c>
    </row>
    <row r="107" spans="2:14">
      <c r="D107" s="238" t="s">
        <v>362</v>
      </c>
      <c r="E107" s="238" t="s">
        <v>363</v>
      </c>
      <c r="G107" s="241">
        <f t="shared" ca="1" si="10"/>
        <v>0</v>
      </c>
      <c r="H107" s="241">
        <f t="shared" ca="1" si="10"/>
        <v>0</v>
      </c>
      <c r="I107" s="241">
        <f t="shared" ca="1" si="10"/>
        <v>0</v>
      </c>
      <c r="J107" s="241">
        <f t="shared" ca="1" si="10"/>
        <v>24</v>
      </c>
      <c r="K107" s="241">
        <f t="shared" ca="1" si="10"/>
        <v>0</v>
      </c>
      <c r="L107" s="241">
        <f t="shared" ca="1" si="10"/>
        <v>0</v>
      </c>
      <c r="M107" s="241">
        <f t="shared" ca="1" si="10"/>
        <v>0</v>
      </c>
      <c r="N107" s="241">
        <f t="shared" ca="1" si="11"/>
        <v>24</v>
      </c>
    </row>
    <row r="108" spans="2:14">
      <c r="D108" s="238" t="s">
        <v>364</v>
      </c>
      <c r="E108" s="238" t="s">
        <v>365</v>
      </c>
      <c r="G108" s="241">
        <f t="shared" ca="1" si="10"/>
        <v>0</v>
      </c>
      <c r="H108" s="241">
        <f t="shared" ca="1" si="10"/>
        <v>0</v>
      </c>
      <c r="I108" s="241">
        <f t="shared" ca="1" si="10"/>
        <v>0</v>
      </c>
      <c r="J108" s="241">
        <f t="shared" ca="1" si="10"/>
        <v>0</v>
      </c>
      <c r="K108" s="241">
        <f t="shared" ca="1" si="10"/>
        <v>0</v>
      </c>
      <c r="L108" s="241">
        <f t="shared" ca="1" si="10"/>
        <v>0</v>
      </c>
      <c r="M108" s="241">
        <f t="shared" ca="1" si="10"/>
        <v>0</v>
      </c>
      <c r="N108" s="241">
        <f t="shared" ca="1" si="11"/>
        <v>0</v>
      </c>
    </row>
    <row r="109" spans="2:14">
      <c r="D109" s="238" t="s">
        <v>235</v>
      </c>
      <c r="E109" s="238" t="s">
        <v>366</v>
      </c>
      <c r="G109" s="241">
        <f t="shared" ca="1" si="10"/>
        <v>76.929999999999993</v>
      </c>
      <c r="H109" s="241">
        <f t="shared" ca="1" si="10"/>
        <v>71.36</v>
      </c>
      <c r="I109" s="241">
        <f t="shared" ca="1" si="10"/>
        <v>168.96</v>
      </c>
      <c r="J109" s="241">
        <f t="shared" ca="1" si="10"/>
        <v>46.48</v>
      </c>
      <c r="K109" s="241">
        <f t="shared" ca="1" si="10"/>
        <v>64.05</v>
      </c>
      <c r="L109" s="241">
        <f t="shared" ca="1" si="10"/>
        <v>106.42999999999999</v>
      </c>
      <c r="M109" s="241">
        <f t="shared" ca="1" si="10"/>
        <v>40.93</v>
      </c>
      <c r="N109" s="241">
        <f t="shared" ca="1" si="11"/>
        <v>575.14</v>
      </c>
    </row>
    <row r="110" spans="2:14">
      <c r="D110" s="238" t="s">
        <v>367</v>
      </c>
      <c r="E110" s="238" t="s">
        <v>368</v>
      </c>
      <c r="G110" s="241">
        <f t="shared" ca="1" si="10"/>
        <v>0.3</v>
      </c>
      <c r="H110" s="241">
        <f t="shared" ca="1" si="10"/>
        <v>105.04</v>
      </c>
      <c r="I110" s="241">
        <f t="shared" ca="1" si="10"/>
        <v>2224.37</v>
      </c>
      <c r="J110" s="241">
        <f t="shared" ca="1" si="10"/>
        <v>23</v>
      </c>
      <c r="K110" s="241">
        <f t="shared" ca="1" si="10"/>
        <v>8757.99</v>
      </c>
      <c r="L110" s="241">
        <f t="shared" ca="1" si="10"/>
        <v>4581.25</v>
      </c>
      <c r="M110" s="241">
        <f t="shared" ca="1" si="10"/>
        <v>197.44</v>
      </c>
      <c r="N110" s="241">
        <f t="shared" ca="1" si="11"/>
        <v>15889.390000000001</v>
      </c>
    </row>
    <row r="111" spans="2:14">
      <c r="D111" s="238" t="s">
        <v>216</v>
      </c>
      <c r="E111" s="238" t="s">
        <v>369</v>
      </c>
      <c r="G111" s="241">
        <f t="shared" ca="1" si="10"/>
        <v>18.21</v>
      </c>
      <c r="H111" s="241">
        <f t="shared" ca="1" si="10"/>
        <v>6.68</v>
      </c>
      <c r="I111" s="241">
        <f t="shared" ca="1" si="10"/>
        <v>22.54</v>
      </c>
      <c r="J111" s="241">
        <f t="shared" ca="1" si="10"/>
        <v>53.17</v>
      </c>
      <c r="K111" s="241">
        <f t="shared" ca="1" si="10"/>
        <v>25.9</v>
      </c>
      <c r="L111" s="241">
        <f t="shared" ca="1" si="10"/>
        <v>10</v>
      </c>
      <c r="M111" s="241">
        <f t="shared" ca="1" si="10"/>
        <v>44.33</v>
      </c>
      <c r="N111" s="241">
        <f t="shared" ca="1" si="11"/>
        <v>180.82999999999998</v>
      </c>
    </row>
    <row r="112" spans="2:14">
      <c r="D112" s="238" t="s">
        <v>370</v>
      </c>
      <c r="E112" s="238" t="s">
        <v>371</v>
      </c>
      <c r="G112" s="241">
        <f t="shared" ca="1" si="10"/>
        <v>6.99</v>
      </c>
      <c r="H112" s="241">
        <f t="shared" ca="1" si="10"/>
        <v>2.69</v>
      </c>
      <c r="I112" s="241">
        <f t="shared" ca="1" si="10"/>
        <v>7.26</v>
      </c>
      <c r="J112" s="241">
        <f t="shared" ca="1" si="10"/>
        <v>11</v>
      </c>
      <c r="K112" s="241">
        <f t="shared" ca="1" si="10"/>
        <v>11.55</v>
      </c>
      <c r="L112" s="241">
        <f t="shared" ca="1" si="10"/>
        <v>11</v>
      </c>
      <c r="M112" s="241">
        <f t="shared" ca="1" si="10"/>
        <v>11</v>
      </c>
      <c r="N112" s="241">
        <f t="shared" ca="1" si="11"/>
        <v>61.489999999999995</v>
      </c>
    </row>
    <row r="114" spans="2:14">
      <c r="B114" s="238" t="s">
        <v>72</v>
      </c>
      <c r="G114" s="238" t="s">
        <v>347</v>
      </c>
    </row>
    <row r="115" spans="2:14">
      <c r="B115" s="238" t="s">
        <v>348</v>
      </c>
      <c r="D115" s="239" t="s">
        <v>349</v>
      </c>
      <c r="E115" s="239" t="s">
        <v>350</v>
      </c>
      <c r="G115" s="238" t="s">
        <v>86</v>
      </c>
      <c r="H115" s="238" t="s">
        <v>83</v>
      </c>
      <c r="I115" s="238" t="s">
        <v>82</v>
      </c>
      <c r="J115" s="238" t="s">
        <v>81</v>
      </c>
      <c r="K115" s="238" t="s">
        <v>80</v>
      </c>
      <c r="L115" s="238" t="s">
        <v>79</v>
      </c>
      <c r="M115" s="238" t="s">
        <v>78</v>
      </c>
      <c r="N115" s="238" t="s">
        <v>351</v>
      </c>
    </row>
    <row r="116" spans="2:14">
      <c r="D116" s="238" t="s">
        <v>157</v>
      </c>
      <c r="E116" s="238" t="s">
        <v>352</v>
      </c>
      <c r="G116" s="241">
        <f t="shared" ref="G116:M130" ca="1" si="12">SUMIF($F$172:$O$1011,(CONCATENATE(G$115," - ",$E116)),$M$172:$M$1011)</f>
        <v>7.0000000000000007E-2</v>
      </c>
      <c r="H116" s="241">
        <f t="shared" ca="1" si="12"/>
        <v>0</v>
      </c>
      <c r="I116" s="241">
        <f t="shared" ca="1" si="12"/>
        <v>0.47</v>
      </c>
      <c r="J116" s="241">
        <f t="shared" ca="1" si="12"/>
        <v>0</v>
      </c>
      <c r="K116" s="241">
        <f t="shared" ca="1" si="12"/>
        <v>0</v>
      </c>
      <c r="L116" s="241">
        <f t="shared" ca="1" si="12"/>
        <v>0</v>
      </c>
      <c r="M116" s="241">
        <f t="shared" ca="1" si="12"/>
        <v>0.01</v>
      </c>
      <c r="N116" s="241">
        <f t="shared" ref="N116:N130" ca="1" si="13">SUM(G116:M116)</f>
        <v>0.55000000000000004</v>
      </c>
    </row>
    <row r="117" spans="2:14">
      <c r="D117" s="238" t="s">
        <v>186</v>
      </c>
      <c r="E117" s="238" t="s">
        <v>353</v>
      </c>
      <c r="G117" s="241">
        <f t="shared" ca="1" si="12"/>
        <v>5.16</v>
      </c>
      <c r="H117" s="241">
        <f t="shared" ca="1" si="12"/>
        <v>9.5399999999999991</v>
      </c>
      <c r="I117" s="241">
        <f t="shared" ca="1" si="12"/>
        <v>9.4600000000000009</v>
      </c>
      <c r="J117" s="241">
        <f t="shared" ca="1" si="12"/>
        <v>2.83</v>
      </c>
      <c r="K117" s="241">
        <f t="shared" ca="1" si="12"/>
        <v>0.69</v>
      </c>
      <c r="L117" s="241">
        <f t="shared" ca="1" si="12"/>
        <v>3.37</v>
      </c>
      <c r="M117" s="241">
        <f t="shared" ca="1" si="12"/>
        <v>0.55000000000000004</v>
      </c>
      <c r="N117" s="241">
        <f t="shared" ca="1" si="13"/>
        <v>31.600000000000005</v>
      </c>
    </row>
    <row r="118" spans="2:14">
      <c r="D118" s="238" t="s">
        <v>247</v>
      </c>
      <c r="E118" s="238" t="s">
        <v>354</v>
      </c>
      <c r="G118" s="241">
        <f t="shared" ca="1" si="12"/>
        <v>15.04</v>
      </c>
      <c r="H118" s="241">
        <f t="shared" ca="1" si="12"/>
        <v>50.28</v>
      </c>
      <c r="I118" s="241">
        <f t="shared" ca="1" si="12"/>
        <v>210.25</v>
      </c>
      <c r="J118" s="241">
        <f t="shared" ca="1" si="12"/>
        <v>4.41</v>
      </c>
      <c r="K118" s="241">
        <f t="shared" ca="1" si="12"/>
        <v>1.07</v>
      </c>
      <c r="L118" s="241">
        <f t="shared" ca="1" si="12"/>
        <v>14.25</v>
      </c>
      <c r="M118" s="241">
        <f t="shared" ca="1" si="12"/>
        <v>245.65</v>
      </c>
      <c r="N118" s="241">
        <f t="shared" ca="1" si="13"/>
        <v>540.95000000000005</v>
      </c>
    </row>
    <row r="119" spans="2:14">
      <c r="D119" s="238" t="s">
        <v>159</v>
      </c>
      <c r="E119" s="238" t="s">
        <v>355</v>
      </c>
      <c r="G119" s="241">
        <f t="shared" ca="1" si="12"/>
        <v>366.84999999999997</v>
      </c>
      <c r="H119" s="241">
        <f t="shared" ca="1" si="12"/>
        <v>174.6</v>
      </c>
      <c r="I119" s="241">
        <f t="shared" ca="1" si="12"/>
        <v>144.13</v>
      </c>
      <c r="J119" s="241">
        <f t="shared" ca="1" si="12"/>
        <v>100.92</v>
      </c>
      <c r="K119" s="241">
        <f t="shared" ca="1" si="12"/>
        <v>30.82</v>
      </c>
      <c r="L119" s="241">
        <f t="shared" ca="1" si="12"/>
        <v>245.91</v>
      </c>
      <c r="M119" s="241">
        <f t="shared" ca="1" si="12"/>
        <v>258.40000000000003</v>
      </c>
      <c r="N119" s="241">
        <f t="shared" ca="1" si="13"/>
        <v>1321.63</v>
      </c>
    </row>
    <row r="120" spans="2:14">
      <c r="D120" s="238" t="s">
        <v>356</v>
      </c>
      <c r="E120" s="238" t="s">
        <v>357</v>
      </c>
      <c r="G120" s="241">
        <f t="shared" ca="1" si="12"/>
        <v>0.04</v>
      </c>
      <c r="H120" s="241">
        <f t="shared" ca="1" si="12"/>
        <v>0.12000000000000001</v>
      </c>
      <c r="I120" s="241">
        <f t="shared" ca="1" si="12"/>
        <v>0.56000000000000005</v>
      </c>
      <c r="J120" s="241">
        <f t="shared" ca="1" si="12"/>
        <v>0.02</v>
      </c>
      <c r="K120" s="241">
        <f t="shared" ca="1" si="12"/>
        <v>0</v>
      </c>
      <c r="L120" s="241">
        <f t="shared" ca="1" si="12"/>
        <v>0.03</v>
      </c>
      <c r="M120" s="241">
        <f t="shared" ca="1" si="12"/>
        <v>0.23</v>
      </c>
      <c r="N120" s="241">
        <f t="shared" ca="1" si="13"/>
        <v>1.0000000000000002</v>
      </c>
    </row>
    <row r="121" spans="2:14">
      <c r="D121" s="238" t="s">
        <v>161</v>
      </c>
      <c r="E121" s="238" t="s">
        <v>358</v>
      </c>
      <c r="G121" s="241">
        <f t="shared" ca="1" si="12"/>
        <v>68.84</v>
      </c>
      <c r="H121" s="241">
        <f t="shared" ca="1" si="12"/>
        <v>64.41</v>
      </c>
      <c r="I121" s="241">
        <f t="shared" ca="1" si="12"/>
        <v>65.06</v>
      </c>
      <c r="J121" s="241">
        <f t="shared" ca="1" si="12"/>
        <v>69.55</v>
      </c>
      <c r="K121" s="241">
        <f t="shared" ca="1" si="12"/>
        <v>34.64</v>
      </c>
      <c r="L121" s="241">
        <f t="shared" ca="1" si="12"/>
        <v>64.61</v>
      </c>
      <c r="M121" s="241">
        <f t="shared" ca="1" si="12"/>
        <v>182.17</v>
      </c>
      <c r="N121" s="241">
        <f t="shared" ca="1" si="13"/>
        <v>549.28</v>
      </c>
    </row>
    <row r="122" spans="2:14">
      <c r="D122" s="238" t="s">
        <v>219</v>
      </c>
      <c r="E122" s="238" t="s">
        <v>359</v>
      </c>
      <c r="G122" s="241">
        <f t="shared" ca="1" si="12"/>
        <v>58.760000000000005</v>
      </c>
      <c r="H122" s="241">
        <f t="shared" ca="1" si="12"/>
        <v>57.349999999999994</v>
      </c>
      <c r="I122" s="241">
        <f t="shared" ca="1" si="12"/>
        <v>57.980000000000004</v>
      </c>
      <c r="J122" s="241">
        <f t="shared" ca="1" si="12"/>
        <v>42.33</v>
      </c>
      <c r="K122" s="241">
        <f t="shared" ca="1" si="12"/>
        <v>19.689999999999998</v>
      </c>
      <c r="L122" s="241">
        <f t="shared" ca="1" si="12"/>
        <v>49.07</v>
      </c>
      <c r="M122" s="241">
        <f t="shared" ca="1" si="12"/>
        <v>63.8</v>
      </c>
      <c r="N122" s="241">
        <f t="shared" ca="1" si="13"/>
        <v>348.98</v>
      </c>
    </row>
    <row r="123" spans="2:14">
      <c r="D123" s="238" t="s">
        <v>228</v>
      </c>
      <c r="E123" s="238" t="s">
        <v>360</v>
      </c>
      <c r="G123" s="241">
        <f t="shared" ca="1" si="12"/>
        <v>0.47</v>
      </c>
      <c r="H123" s="241">
        <f t="shared" ca="1" si="12"/>
        <v>0.63000000000000012</v>
      </c>
      <c r="I123" s="241">
        <f t="shared" ca="1" si="12"/>
        <v>0.28000000000000003</v>
      </c>
      <c r="J123" s="241">
        <f t="shared" ca="1" si="12"/>
        <v>0.18</v>
      </c>
      <c r="K123" s="241">
        <f t="shared" ca="1" si="12"/>
        <v>0.3</v>
      </c>
      <c r="L123" s="241">
        <f t="shared" ca="1" si="12"/>
        <v>0.25</v>
      </c>
      <c r="M123" s="241">
        <f t="shared" ca="1" si="12"/>
        <v>0.5</v>
      </c>
      <c r="N123" s="241">
        <f t="shared" ca="1" si="13"/>
        <v>2.6100000000000003</v>
      </c>
    </row>
    <row r="124" spans="2:14">
      <c r="D124" s="238" t="s">
        <v>231</v>
      </c>
      <c r="E124" s="238" t="s">
        <v>361</v>
      </c>
      <c r="G124" s="241">
        <f t="shared" ca="1" si="12"/>
        <v>534.35</v>
      </c>
      <c r="H124" s="241">
        <f t="shared" ca="1" si="12"/>
        <v>1578.97</v>
      </c>
      <c r="I124" s="241">
        <f t="shared" ca="1" si="12"/>
        <v>3375.0299999999997</v>
      </c>
      <c r="J124" s="241">
        <f t="shared" ca="1" si="12"/>
        <v>1291.58</v>
      </c>
      <c r="K124" s="241">
        <f t="shared" ca="1" si="12"/>
        <v>1655.95</v>
      </c>
      <c r="L124" s="241">
        <f t="shared" ca="1" si="12"/>
        <v>2724.2</v>
      </c>
      <c r="M124" s="241">
        <f t="shared" ca="1" si="12"/>
        <v>2499.69</v>
      </c>
      <c r="N124" s="241">
        <f t="shared" ca="1" si="13"/>
        <v>13659.770000000002</v>
      </c>
    </row>
    <row r="125" spans="2:14">
      <c r="D125" s="238" t="s">
        <v>362</v>
      </c>
      <c r="E125" s="238" t="s">
        <v>363</v>
      </c>
      <c r="G125" s="241">
        <f t="shared" ca="1" si="12"/>
        <v>1857.3600000000001</v>
      </c>
      <c r="H125" s="241">
        <f t="shared" ca="1" si="12"/>
        <v>3588.63</v>
      </c>
      <c r="I125" s="241">
        <f t="shared" ca="1" si="12"/>
        <v>4630.41</v>
      </c>
      <c r="J125" s="241">
        <f t="shared" ca="1" si="12"/>
        <v>4999.95</v>
      </c>
      <c r="K125" s="241">
        <f t="shared" ca="1" si="12"/>
        <v>4882.28</v>
      </c>
      <c r="L125" s="241">
        <f t="shared" ca="1" si="12"/>
        <v>5167.57</v>
      </c>
      <c r="M125" s="241">
        <f t="shared" ca="1" si="12"/>
        <v>5599.51</v>
      </c>
      <c r="N125" s="241">
        <f t="shared" ca="1" si="13"/>
        <v>30725.71</v>
      </c>
    </row>
    <row r="126" spans="2:14">
      <c r="D126" s="238" t="s">
        <v>364</v>
      </c>
      <c r="E126" s="238" t="s">
        <v>365</v>
      </c>
      <c r="G126" s="241">
        <f t="shared" ca="1" si="12"/>
        <v>0</v>
      </c>
      <c r="H126" s="241">
        <f t="shared" ca="1" si="12"/>
        <v>0</v>
      </c>
      <c r="I126" s="241">
        <f t="shared" ca="1" si="12"/>
        <v>0</v>
      </c>
      <c r="J126" s="241">
        <f t="shared" ca="1" si="12"/>
        <v>0</v>
      </c>
      <c r="K126" s="241">
        <f t="shared" ca="1" si="12"/>
        <v>0</v>
      </c>
      <c r="L126" s="241">
        <f t="shared" ca="1" si="12"/>
        <v>0</v>
      </c>
      <c r="M126" s="241">
        <f t="shared" ca="1" si="12"/>
        <v>0</v>
      </c>
      <c r="N126" s="241">
        <f t="shared" ca="1" si="13"/>
        <v>0</v>
      </c>
    </row>
    <row r="127" spans="2:14">
      <c r="D127" s="238" t="s">
        <v>235</v>
      </c>
      <c r="E127" s="238" t="s">
        <v>366</v>
      </c>
      <c r="G127" s="241">
        <f t="shared" ca="1" si="12"/>
        <v>49.46</v>
      </c>
      <c r="H127" s="241">
        <f t="shared" ca="1" si="12"/>
        <v>149.91</v>
      </c>
      <c r="I127" s="241">
        <f t="shared" ca="1" si="12"/>
        <v>573.30999999999995</v>
      </c>
      <c r="J127" s="241">
        <f t="shared" ca="1" si="12"/>
        <v>122.99000000000001</v>
      </c>
      <c r="K127" s="241">
        <f t="shared" ca="1" si="12"/>
        <v>172.68</v>
      </c>
      <c r="L127" s="241">
        <f t="shared" ca="1" si="12"/>
        <v>16.010000000000002</v>
      </c>
      <c r="M127" s="241">
        <f t="shared" ca="1" si="12"/>
        <v>41.31</v>
      </c>
      <c r="N127" s="241">
        <f t="shared" ca="1" si="13"/>
        <v>1125.6699999999998</v>
      </c>
    </row>
    <row r="128" spans="2:14">
      <c r="D128" s="238" t="s">
        <v>367</v>
      </c>
      <c r="E128" s="238" t="s">
        <v>368</v>
      </c>
      <c r="G128" s="241">
        <f t="shared" ca="1" si="12"/>
        <v>187.70000000000002</v>
      </c>
      <c r="H128" s="241">
        <f t="shared" ca="1" si="12"/>
        <v>2723.61</v>
      </c>
      <c r="I128" s="241">
        <f t="shared" ca="1" si="12"/>
        <v>5226.1500000000005</v>
      </c>
      <c r="J128" s="241">
        <f t="shared" ca="1" si="12"/>
        <v>24463.96</v>
      </c>
      <c r="K128" s="241">
        <f t="shared" ca="1" si="12"/>
        <v>1071.49</v>
      </c>
      <c r="L128" s="241">
        <f t="shared" ca="1" si="12"/>
        <v>696.93</v>
      </c>
      <c r="M128" s="241">
        <f t="shared" ca="1" si="12"/>
        <v>2013.59</v>
      </c>
      <c r="N128" s="241">
        <f t="shared" ca="1" si="13"/>
        <v>36383.429999999993</v>
      </c>
    </row>
    <row r="129" spans="2:14">
      <c r="D129" s="238" t="s">
        <v>216</v>
      </c>
      <c r="E129" s="238" t="s">
        <v>369</v>
      </c>
      <c r="G129" s="241">
        <f t="shared" ca="1" si="12"/>
        <v>285.78999999999996</v>
      </c>
      <c r="H129" s="241">
        <f t="shared" ca="1" si="12"/>
        <v>118.81</v>
      </c>
      <c r="I129" s="241">
        <f t="shared" ca="1" si="12"/>
        <v>226.04</v>
      </c>
      <c r="J129" s="241">
        <f t="shared" ca="1" si="12"/>
        <v>110.38</v>
      </c>
      <c r="K129" s="241">
        <f t="shared" ca="1" si="12"/>
        <v>143</v>
      </c>
      <c r="L129" s="241">
        <f t="shared" ca="1" si="12"/>
        <v>263.92</v>
      </c>
      <c r="M129" s="241">
        <f t="shared" ca="1" si="12"/>
        <v>293.83999999999997</v>
      </c>
      <c r="N129" s="241">
        <f t="shared" ca="1" si="13"/>
        <v>1441.78</v>
      </c>
    </row>
    <row r="130" spans="2:14">
      <c r="D130" s="238" t="s">
        <v>370</v>
      </c>
      <c r="E130" s="238" t="s">
        <v>371</v>
      </c>
      <c r="G130" s="241">
        <f t="shared" ca="1" si="12"/>
        <v>155.76</v>
      </c>
      <c r="H130" s="241">
        <f t="shared" ca="1" si="12"/>
        <v>52.61</v>
      </c>
      <c r="I130" s="241">
        <f t="shared" ca="1" si="12"/>
        <v>352.74</v>
      </c>
      <c r="J130" s="241">
        <f t="shared" ca="1" si="12"/>
        <v>1621.84</v>
      </c>
      <c r="K130" s="241">
        <f t="shared" ca="1" si="12"/>
        <v>90.22</v>
      </c>
      <c r="L130" s="241">
        <f t="shared" ca="1" si="12"/>
        <v>938.18</v>
      </c>
      <c r="M130" s="241">
        <f t="shared" ca="1" si="12"/>
        <v>1407.22</v>
      </c>
      <c r="N130" s="241">
        <f t="shared" ca="1" si="13"/>
        <v>4618.57</v>
      </c>
    </row>
    <row r="132" spans="2:14">
      <c r="B132" s="238" t="s">
        <v>73</v>
      </c>
      <c r="G132" s="238" t="s">
        <v>347</v>
      </c>
    </row>
    <row r="133" spans="2:14">
      <c r="B133" s="238" t="s">
        <v>348</v>
      </c>
      <c r="D133" s="239" t="s">
        <v>349</v>
      </c>
      <c r="E133" s="239" t="s">
        <v>350</v>
      </c>
      <c r="G133" s="238" t="s">
        <v>86</v>
      </c>
      <c r="H133" s="238" t="s">
        <v>83</v>
      </c>
      <c r="I133" s="238" t="s">
        <v>82</v>
      </c>
      <c r="J133" s="238" t="s">
        <v>81</v>
      </c>
      <c r="K133" s="238" t="s">
        <v>80</v>
      </c>
      <c r="L133" s="238" t="s">
        <v>79</v>
      </c>
      <c r="M133" s="238" t="s">
        <v>78</v>
      </c>
      <c r="N133" s="238" t="s">
        <v>351</v>
      </c>
    </row>
    <row r="134" spans="2:14">
      <c r="D134" s="238" t="s">
        <v>157</v>
      </c>
      <c r="E134" s="238" t="s">
        <v>352</v>
      </c>
      <c r="G134" s="241">
        <f t="shared" ref="G134:M148" ca="1" si="14">SUMIF($F$172:$O$1011,(CONCATENATE(G$133," - ",$E134)),$N$172:$N$1011)</f>
        <v>0</v>
      </c>
      <c r="H134" s="241">
        <f t="shared" ca="1" si="14"/>
        <v>0.44</v>
      </c>
      <c r="I134" s="241">
        <f t="shared" ca="1" si="14"/>
        <v>0</v>
      </c>
      <c r="J134" s="241">
        <f t="shared" ca="1" si="14"/>
        <v>0</v>
      </c>
      <c r="K134" s="241">
        <f t="shared" ca="1" si="14"/>
        <v>0</v>
      </c>
      <c r="L134" s="241">
        <f t="shared" ca="1" si="14"/>
        <v>0</v>
      </c>
      <c r="M134" s="241">
        <f t="shared" ca="1" si="14"/>
        <v>0</v>
      </c>
      <c r="N134" s="241">
        <f t="shared" ref="N134:N148" ca="1" si="15">SUM(G134:M134)</f>
        <v>0.44</v>
      </c>
    </row>
    <row r="135" spans="2:14">
      <c r="D135" s="238" t="s">
        <v>186</v>
      </c>
      <c r="E135" s="238" t="s">
        <v>353</v>
      </c>
      <c r="G135" s="241">
        <f t="shared" ca="1" si="14"/>
        <v>2.09</v>
      </c>
      <c r="H135" s="241">
        <f t="shared" ca="1" si="14"/>
        <v>16.07</v>
      </c>
      <c r="I135" s="241">
        <f t="shared" ca="1" si="14"/>
        <v>5.16</v>
      </c>
      <c r="J135" s="241">
        <f t="shared" ca="1" si="14"/>
        <v>18.02</v>
      </c>
      <c r="K135" s="241">
        <f t="shared" ca="1" si="14"/>
        <v>88.58</v>
      </c>
      <c r="L135" s="241">
        <f t="shared" ca="1" si="14"/>
        <v>26.240000000000002</v>
      </c>
      <c r="M135" s="241">
        <f t="shared" ca="1" si="14"/>
        <v>52.16</v>
      </c>
      <c r="N135" s="241">
        <f t="shared" ca="1" si="15"/>
        <v>208.32000000000002</v>
      </c>
    </row>
    <row r="136" spans="2:14">
      <c r="D136" s="238" t="s">
        <v>247</v>
      </c>
      <c r="E136" s="238" t="s">
        <v>354</v>
      </c>
      <c r="G136" s="241">
        <f t="shared" ca="1" si="14"/>
        <v>162.91</v>
      </c>
      <c r="H136" s="241">
        <f t="shared" ca="1" si="14"/>
        <v>38.1</v>
      </c>
      <c r="I136" s="241">
        <f t="shared" ca="1" si="14"/>
        <v>0</v>
      </c>
      <c r="J136" s="241">
        <f t="shared" ca="1" si="14"/>
        <v>220.08</v>
      </c>
      <c r="K136" s="241">
        <f t="shared" ca="1" si="14"/>
        <v>349.08</v>
      </c>
      <c r="L136" s="241">
        <f t="shared" ca="1" si="14"/>
        <v>82.38</v>
      </c>
      <c r="M136" s="241">
        <f t="shared" ca="1" si="14"/>
        <v>177.32</v>
      </c>
      <c r="N136" s="241">
        <f t="shared" ca="1" si="15"/>
        <v>1029.8700000000001</v>
      </c>
    </row>
    <row r="137" spans="2:14">
      <c r="D137" s="238" t="s">
        <v>159</v>
      </c>
      <c r="E137" s="238" t="s">
        <v>355</v>
      </c>
      <c r="G137" s="241">
        <f t="shared" ca="1" si="14"/>
        <v>418.19</v>
      </c>
      <c r="H137" s="241">
        <f t="shared" ca="1" si="14"/>
        <v>947.09999999999991</v>
      </c>
      <c r="I137" s="241">
        <f t="shared" ca="1" si="14"/>
        <v>924.9</v>
      </c>
      <c r="J137" s="241">
        <f t="shared" ca="1" si="14"/>
        <v>862.71</v>
      </c>
      <c r="K137" s="241">
        <f t="shared" ca="1" si="14"/>
        <v>782.77</v>
      </c>
      <c r="L137" s="241">
        <f t="shared" ca="1" si="14"/>
        <v>387.14</v>
      </c>
      <c r="M137" s="241">
        <f t="shared" ca="1" si="14"/>
        <v>307.90999999999997</v>
      </c>
      <c r="N137" s="241">
        <f t="shared" ca="1" si="15"/>
        <v>4630.72</v>
      </c>
    </row>
    <row r="138" spans="2:14">
      <c r="D138" s="238" t="s">
        <v>356</v>
      </c>
      <c r="E138" s="238" t="s">
        <v>357</v>
      </c>
      <c r="G138" s="241">
        <f t="shared" ca="1" si="14"/>
        <v>0</v>
      </c>
      <c r="H138" s="241">
        <f t="shared" ca="1" si="14"/>
        <v>0</v>
      </c>
      <c r="I138" s="241">
        <f t="shared" ca="1" si="14"/>
        <v>0</v>
      </c>
      <c r="J138" s="241">
        <f t="shared" ca="1" si="14"/>
        <v>0</v>
      </c>
      <c r="K138" s="241">
        <f t="shared" ca="1" si="14"/>
        <v>8.2100000000000009</v>
      </c>
      <c r="L138" s="241">
        <f t="shared" ca="1" si="14"/>
        <v>0.05</v>
      </c>
      <c r="M138" s="241">
        <f t="shared" ca="1" si="14"/>
        <v>0</v>
      </c>
      <c r="N138" s="241">
        <f t="shared" ca="1" si="15"/>
        <v>8.2600000000000016</v>
      </c>
    </row>
    <row r="139" spans="2:14">
      <c r="D139" s="238" t="s">
        <v>161</v>
      </c>
      <c r="E139" s="238" t="s">
        <v>358</v>
      </c>
      <c r="G139" s="241">
        <f t="shared" ca="1" si="14"/>
        <v>1.41</v>
      </c>
      <c r="H139" s="241">
        <f t="shared" ca="1" si="14"/>
        <v>1.44</v>
      </c>
      <c r="I139" s="241">
        <f t="shared" ca="1" si="14"/>
        <v>0</v>
      </c>
      <c r="J139" s="241">
        <f t="shared" ca="1" si="14"/>
        <v>12.4</v>
      </c>
      <c r="K139" s="241">
        <f t="shared" ca="1" si="14"/>
        <v>12</v>
      </c>
      <c r="L139" s="241">
        <f t="shared" ca="1" si="14"/>
        <v>2.1800000000000002</v>
      </c>
      <c r="M139" s="241">
        <f t="shared" ca="1" si="14"/>
        <v>131.02000000000001</v>
      </c>
      <c r="N139" s="241">
        <f t="shared" ca="1" si="15"/>
        <v>160.45000000000002</v>
      </c>
    </row>
    <row r="140" spans="2:14">
      <c r="D140" s="238" t="s">
        <v>219</v>
      </c>
      <c r="E140" s="238" t="s">
        <v>359</v>
      </c>
      <c r="G140" s="241">
        <f t="shared" ca="1" si="14"/>
        <v>5.0999999999999996</v>
      </c>
      <c r="H140" s="241">
        <f t="shared" ca="1" si="14"/>
        <v>3.03</v>
      </c>
      <c r="I140" s="241">
        <f t="shared" ca="1" si="14"/>
        <v>0</v>
      </c>
      <c r="J140" s="241">
        <f t="shared" ca="1" si="14"/>
        <v>30.9</v>
      </c>
      <c r="K140" s="241">
        <f t="shared" ca="1" si="14"/>
        <v>85.089999999999989</v>
      </c>
      <c r="L140" s="241">
        <f t="shared" ca="1" si="14"/>
        <v>36.230000000000004</v>
      </c>
      <c r="M140" s="241">
        <f t="shared" ca="1" si="14"/>
        <v>0</v>
      </c>
      <c r="N140" s="241">
        <f t="shared" ca="1" si="15"/>
        <v>160.35</v>
      </c>
    </row>
    <row r="141" spans="2:14">
      <c r="D141" s="238" t="s">
        <v>228</v>
      </c>
      <c r="E141" s="238" t="s">
        <v>360</v>
      </c>
      <c r="G141" s="241">
        <f t="shared" ca="1" si="14"/>
        <v>0.4</v>
      </c>
      <c r="H141" s="241">
        <f t="shared" ca="1" si="14"/>
        <v>22.47</v>
      </c>
      <c r="I141" s="241">
        <f t="shared" ca="1" si="14"/>
        <v>5.4</v>
      </c>
      <c r="J141" s="241">
        <f t="shared" ca="1" si="14"/>
        <v>6.16</v>
      </c>
      <c r="K141" s="241">
        <f t="shared" ca="1" si="14"/>
        <v>12.1</v>
      </c>
      <c r="L141" s="241">
        <f t="shared" ca="1" si="14"/>
        <v>0.92</v>
      </c>
      <c r="M141" s="241">
        <f t="shared" ca="1" si="14"/>
        <v>4</v>
      </c>
      <c r="N141" s="241">
        <f t="shared" ca="1" si="15"/>
        <v>51.449999999999996</v>
      </c>
    </row>
    <row r="142" spans="2:14">
      <c r="D142" s="238" t="s">
        <v>231</v>
      </c>
      <c r="E142" s="238" t="s">
        <v>361</v>
      </c>
      <c r="G142" s="241">
        <f t="shared" ca="1" si="14"/>
        <v>134.38999999999999</v>
      </c>
      <c r="H142" s="241">
        <f t="shared" ca="1" si="14"/>
        <v>2613.6</v>
      </c>
      <c r="I142" s="241">
        <f t="shared" ca="1" si="14"/>
        <v>118.3</v>
      </c>
      <c r="J142" s="241">
        <f t="shared" ca="1" si="14"/>
        <v>2264.71</v>
      </c>
      <c r="K142" s="241">
        <f t="shared" ca="1" si="14"/>
        <v>3740.9</v>
      </c>
      <c r="L142" s="241">
        <f t="shared" ca="1" si="14"/>
        <v>741.26</v>
      </c>
      <c r="M142" s="241">
        <f t="shared" ca="1" si="14"/>
        <v>1835.03</v>
      </c>
      <c r="N142" s="241">
        <f t="shared" ca="1" si="15"/>
        <v>11448.19</v>
      </c>
    </row>
    <row r="143" spans="2:14">
      <c r="D143" s="238" t="s">
        <v>362</v>
      </c>
      <c r="E143" s="238" t="s">
        <v>363</v>
      </c>
      <c r="G143" s="241">
        <f t="shared" ca="1" si="14"/>
        <v>0</v>
      </c>
      <c r="H143" s="241">
        <f t="shared" ca="1" si="14"/>
        <v>6</v>
      </c>
      <c r="I143" s="241">
        <f t="shared" ca="1" si="14"/>
        <v>0.45</v>
      </c>
      <c r="J143" s="241">
        <f t="shared" ca="1" si="14"/>
        <v>10</v>
      </c>
      <c r="K143" s="241">
        <f t="shared" ca="1" si="14"/>
        <v>148.5</v>
      </c>
      <c r="L143" s="241">
        <f t="shared" ca="1" si="14"/>
        <v>0</v>
      </c>
      <c r="M143" s="241">
        <f t="shared" ca="1" si="14"/>
        <v>0</v>
      </c>
      <c r="N143" s="241">
        <f t="shared" ca="1" si="15"/>
        <v>164.95</v>
      </c>
    </row>
    <row r="144" spans="2:14">
      <c r="D144" s="238" t="s">
        <v>364</v>
      </c>
      <c r="E144" s="238" t="s">
        <v>365</v>
      </c>
      <c r="G144" s="241">
        <f t="shared" ca="1" si="14"/>
        <v>0</v>
      </c>
      <c r="H144" s="241">
        <f t="shared" ca="1" si="14"/>
        <v>0</v>
      </c>
      <c r="I144" s="241">
        <f t="shared" ca="1" si="14"/>
        <v>0</v>
      </c>
      <c r="J144" s="241">
        <f t="shared" ca="1" si="14"/>
        <v>0</v>
      </c>
      <c r="K144" s="241">
        <f t="shared" ca="1" si="14"/>
        <v>0</v>
      </c>
      <c r="L144" s="241">
        <f t="shared" ca="1" si="14"/>
        <v>0</v>
      </c>
      <c r="M144" s="241">
        <f t="shared" ca="1" si="14"/>
        <v>0</v>
      </c>
      <c r="N144" s="241">
        <f t="shared" ca="1" si="15"/>
        <v>0</v>
      </c>
    </row>
    <row r="145" spans="2:15">
      <c r="D145" s="238" t="s">
        <v>235</v>
      </c>
      <c r="E145" s="238" t="s">
        <v>366</v>
      </c>
      <c r="G145" s="241">
        <f t="shared" ca="1" si="14"/>
        <v>9.2200000000000006</v>
      </c>
      <c r="H145" s="241">
        <f t="shared" ca="1" si="14"/>
        <v>2.5</v>
      </c>
      <c r="I145" s="241">
        <f t="shared" ca="1" si="14"/>
        <v>0</v>
      </c>
      <c r="J145" s="241">
        <f t="shared" ca="1" si="14"/>
        <v>20.010000000000002</v>
      </c>
      <c r="K145" s="241">
        <f t="shared" ca="1" si="14"/>
        <v>8.98</v>
      </c>
      <c r="L145" s="241">
        <f t="shared" ca="1" si="14"/>
        <v>44.79</v>
      </c>
      <c r="M145" s="241">
        <f t="shared" ca="1" si="14"/>
        <v>154.20999999999998</v>
      </c>
      <c r="N145" s="241">
        <f t="shared" ca="1" si="15"/>
        <v>239.70999999999998</v>
      </c>
    </row>
    <row r="146" spans="2:15">
      <c r="D146" s="238" t="s">
        <v>367</v>
      </c>
      <c r="E146" s="238" t="s">
        <v>368</v>
      </c>
      <c r="G146" s="241">
        <f t="shared" ca="1" si="14"/>
        <v>107.65</v>
      </c>
      <c r="H146" s="241">
        <f t="shared" ca="1" si="14"/>
        <v>0.25</v>
      </c>
      <c r="I146" s="241">
        <f t="shared" ca="1" si="14"/>
        <v>3</v>
      </c>
      <c r="J146" s="241">
        <f t="shared" ca="1" si="14"/>
        <v>4</v>
      </c>
      <c r="K146" s="241">
        <f t="shared" ca="1" si="14"/>
        <v>286.3</v>
      </c>
      <c r="L146" s="241">
        <f t="shared" ca="1" si="14"/>
        <v>142.26</v>
      </c>
      <c r="M146" s="241">
        <f t="shared" ca="1" si="14"/>
        <v>63.66</v>
      </c>
      <c r="N146" s="241">
        <f t="shared" ca="1" si="15"/>
        <v>607.12</v>
      </c>
    </row>
    <row r="147" spans="2:15">
      <c r="D147" s="238" t="s">
        <v>216</v>
      </c>
      <c r="E147" s="238" t="s">
        <v>369</v>
      </c>
      <c r="G147" s="241">
        <f t="shared" ca="1" si="14"/>
        <v>80.430000000000007</v>
      </c>
      <c r="H147" s="241">
        <f t="shared" ca="1" si="14"/>
        <v>73.239999999999995</v>
      </c>
      <c r="I147" s="241">
        <f t="shared" ca="1" si="14"/>
        <v>0</v>
      </c>
      <c r="J147" s="241">
        <f t="shared" ca="1" si="14"/>
        <v>117.8</v>
      </c>
      <c r="K147" s="241">
        <f t="shared" ca="1" si="14"/>
        <v>141.99</v>
      </c>
      <c r="L147" s="241">
        <f t="shared" ca="1" si="14"/>
        <v>91.35</v>
      </c>
      <c r="M147" s="241">
        <f t="shared" ca="1" si="14"/>
        <v>138.83000000000001</v>
      </c>
      <c r="N147" s="241">
        <f t="shared" ca="1" si="15"/>
        <v>643.6400000000001</v>
      </c>
    </row>
    <row r="148" spans="2:15">
      <c r="D148" s="238" t="s">
        <v>370</v>
      </c>
      <c r="E148" s="238" t="s">
        <v>371</v>
      </c>
      <c r="G148" s="241">
        <f t="shared" ca="1" si="14"/>
        <v>51.93</v>
      </c>
      <c r="H148" s="241">
        <f t="shared" ca="1" si="14"/>
        <v>75.62</v>
      </c>
      <c r="I148" s="241">
        <f t="shared" ca="1" si="14"/>
        <v>0</v>
      </c>
      <c r="J148" s="241">
        <f t="shared" ca="1" si="14"/>
        <v>273.42</v>
      </c>
      <c r="K148" s="241">
        <f t="shared" ca="1" si="14"/>
        <v>402.51</v>
      </c>
      <c r="L148" s="241">
        <f t="shared" ca="1" si="14"/>
        <v>159</v>
      </c>
      <c r="M148" s="241">
        <f t="shared" ca="1" si="14"/>
        <v>80.8</v>
      </c>
      <c r="N148" s="241">
        <f t="shared" ca="1" si="15"/>
        <v>1043.28</v>
      </c>
    </row>
    <row r="150" spans="2:15">
      <c r="B150" s="238" t="s">
        <v>372</v>
      </c>
      <c r="G150" s="238" t="s">
        <v>347</v>
      </c>
    </row>
    <row r="151" spans="2:15">
      <c r="B151" s="238" t="s">
        <v>348</v>
      </c>
      <c r="D151" s="239" t="s">
        <v>349</v>
      </c>
      <c r="E151" s="239" t="s">
        <v>350</v>
      </c>
      <c r="G151" s="238" t="s">
        <v>86</v>
      </c>
      <c r="H151" s="238" t="s">
        <v>83</v>
      </c>
      <c r="I151" s="238" t="s">
        <v>82</v>
      </c>
      <c r="J151" s="238" t="s">
        <v>81</v>
      </c>
      <c r="K151" s="238" t="s">
        <v>80</v>
      </c>
      <c r="L151" s="238" t="s">
        <v>79</v>
      </c>
      <c r="M151" s="238" t="s">
        <v>78</v>
      </c>
      <c r="N151" s="238" t="s">
        <v>351</v>
      </c>
    </row>
    <row r="152" spans="2:15">
      <c r="D152" s="238" t="s">
        <v>157</v>
      </c>
      <c r="E152" s="238" t="s">
        <v>352</v>
      </c>
      <c r="G152" s="241">
        <f t="shared" ref="G152:M166" ca="1" si="16">SUMIF($F$172:$O$1011,(CONCATENATE(G$151," - ",$E152)),$O$172:$O$1011)</f>
        <v>0</v>
      </c>
      <c r="H152" s="241">
        <f t="shared" ca="1" si="16"/>
        <v>0</v>
      </c>
      <c r="I152" s="241">
        <f t="shared" ca="1" si="16"/>
        <v>0</v>
      </c>
      <c r="J152" s="241">
        <f t="shared" ca="1" si="16"/>
        <v>0</v>
      </c>
      <c r="K152" s="241">
        <f t="shared" ca="1" si="16"/>
        <v>0</v>
      </c>
      <c r="L152" s="241">
        <f t="shared" ca="1" si="16"/>
        <v>0</v>
      </c>
      <c r="M152" s="241">
        <f t="shared" ca="1" si="16"/>
        <v>0</v>
      </c>
      <c r="N152" s="241">
        <f t="shared" ref="N152:N166" ca="1" si="17">SUM(G152:M152)</f>
        <v>0</v>
      </c>
      <c r="O152" s="238" t="s">
        <v>373</v>
      </c>
    </row>
    <row r="153" spans="2:15">
      <c r="D153" s="238" t="s">
        <v>186</v>
      </c>
      <c r="E153" s="238" t="s">
        <v>353</v>
      </c>
      <c r="G153" s="241">
        <f t="shared" ca="1" si="16"/>
        <v>0</v>
      </c>
      <c r="H153" s="241">
        <f t="shared" ca="1" si="16"/>
        <v>0</v>
      </c>
      <c r="I153" s="241">
        <f t="shared" ca="1" si="16"/>
        <v>0</v>
      </c>
      <c r="J153" s="241">
        <f t="shared" ca="1" si="16"/>
        <v>0.26</v>
      </c>
      <c r="K153" s="241">
        <f t="shared" ca="1" si="16"/>
        <v>0.3</v>
      </c>
      <c r="L153" s="241">
        <f t="shared" ca="1" si="16"/>
        <v>3.09</v>
      </c>
      <c r="M153" s="241">
        <f t="shared" ca="1" si="16"/>
        <v>6</v>
      </c>
      <c r="N153" s="241">
        <f t="shared" ca="1" si="17"/>
        <v>9.65</v>
      </c>
    </row>
    <row r="154" spans="2:15">
      <c r="D154" s="238" t="s">
        <v>247</v>
      </c>
      <c r="E154" s="238" t="s">
        <v>354</v>
      </c>
      <c r="G154" s="241">
        <f t="shared" ca="1" si="16"/>
        <v>0</v>
      </c>
      <c r="H154" s="241">
        <f t="shared" ca="1" si="16"/>
        <v>0</v>
      </c>
      <c r="I154" s="241">
        <f t="shared" ca="1" si="16"/>
        <v>0</v>
      </c>
      <c r="J154" s="241">
        <f t="shared" ca="1" si="16"/>
        <v>0</v>
      </c>
      <c r="K154" s="241">
        <f t="shared" ca="1" si="16"/>
        <v>0</v>
      </c>
      <c r="L154" s="241">
        <f t="shared" ca="1" si="16"/>
        <v>0</v>
      </c>
      <c r="M154" s="241">
        <f t="shared" ca="1" si="16"/>
        <v>0.2</v>
      </c>
      <c r="N154" s="241">
        <f t="shared" ca="1" si="17"/>
        <v>0.2</v>
      </c>
    </row>
    <row r="155" spans="2:15">
      <c r="D155" s="238" t="s">
        <v>159</v>
      </c>
      <c r="E155" s="238" t="s">
        <v>355</v>
      </c>
      <c r="G155" s="241">
        <f t="shared" ca="1" si="16"/>
        <v>0</v>
      </c>
      <c r="H155" s="241">
        <f t="shared" ca="1" si="16"/>
        <v>0</v>
      </c>
      <c r="I155" s="241">
        <f t="shared" ca="1" si="16"/>
        <v>0</v>
      </c>
      <c r="J155" s="241">
        <f t="shared" ca="1" si="16"/>
        <v>4.57</v>
      </c>
      <c r="K155" s="241">
        <f t="shared" ca="1" si="16"/>
        <v>0.1</v>
      </c>
      <c r="L155" s="241">
        <f t="shared" ca="1" si="16"/>
        <v>1.2</v>
      </c>
      <c r="M155" s="241">
        <f t="shared" ca="1" si="16"/>
        <v>1.22</v>
      </c>
      <c r="N155" s="241">
        <f t="shared" ca="1" si="17"/>
        <v>7.09</v>
      </c>
    </row>
    <row r="156" spans="2:15">
      <c r="D156" s="238" t="s">
        <v>356</v>
      </c>
      <c r="E156" s="238" t="s">
        <v>357</v>
      </c>
      <c r="G156" s="241">
        <f t="shared" ca="1" si="16"/>
        <v>0</v>
      </c>
      <c r="H156" s="241">
        <f t="shared" ca="1" si="16"/>
        <v>0</v>
      </c>
      <c r="I156" s="241">
        <f t="shared" ca="1" si="16"/>
        <v>0</v>
      </c>
      <c r="J156" s="241">
        <f t="shared" ca="1" si="16"/>
        <v>0</v>
      </c>
      <c r="K156" s="241">
        <f t="shared" ca="1" si="16"/>
        <v>0</v>
      </c>
      <c r="L156" s="241">
        <f t="shared" ca="1" si="16"/>
        <v>0</v>
      </c>
      <c r="M156" s="241">
        <f t="shared" ca="1" si="16"/>
        <v>0.02</v>
      </c>
      <c r="N156" s="241">
        <f t="shared" ca="1" si="17"/>
        <v>0.02</v>
      </c>
    </row>
    <row r="157" spans="2:15">
      <c r="D157" s="238" t="s">
        <v>161</v>
      </c>
      <c r="E157" s="238" t="s">
        <v>358</v>
      </c>
      <c r="G157" s="241">
        <f t="shared" ca="1" si="16"/>
        <v>0</v>
      </c>
      <c r="H157" s="241">
        <f t="shared" ca="1" si="16"/>
        <v>0</v>
      </c>
      <c r="I157" s="241">
        <f t="shared" ca="1" si="16"/>
        <v>0</v>
      </c>
      <c r="J157" s="241">
        <f t="shared" ca="1" si="16"/>
        <v>0</v>
      </c>
      <c r="K157" s="241">
        <f t="shared" ca="1" si="16"/>
        <v>0</v>
      </c>
      <c r="L157" s="241">
        <f t="shared" ca="1" si="16"/>
        <v>0.84</v>
      </c>
      <c r="M157" s="241">
        <f t="shared" ca="1" si="16"/>
        <v>2</v>
      </c>
      <c r="N157" s="241">
        <f t="shared" ca="1" si="17"/>
        <v>2.84</v>
      </c>
    </row>
    <row r="158" spans="2:15">
      <c r="D158" s="238" t="s">
        <v>219</v>
      </c>
      <c r="E158" s="238" t="s">
        <v>359</v>
      </c>
      <c r="G158" s="241">
        <f t="shared" ca="1" si="16"/>
        <v>0</v>
      </c>
      <c r="H158" s="241">
        <f t="shared" ca="1" si="16"/>
        <v>0</v>
      </c>
      <c r="I158" s="241">
        <f t="shared" ca="1" si="16"/>
        <v>0</v>
      </c>
      <c r="J158" s="241">
        <f t="shared" ca="1" si="16"/>
        <v>15.25</v>
      </c>
      <c r="K158" s="241">
        <f t="shared" ca="1" si="16"/>
        <v>27.1</v>
      </c>
      <c r="L158" s="241">
        <f t="shared" ca="1" si="16"/>
        <v>0.4</v>
      </c>
      <c r="M158" s="241">
        <f t="shared" ca="1" si="16"/>
        <v>30</v>
      </c>
      <c r="N158" s="241">
        <f t="shared" ca="1" si="17"/>
        <v>72.75</v>
      </c>
    </row>
    <row r="159" spans="2:15">
      <c r="D159" s="238" t="s">
        <v>228</v>
      </c>
      <c r="E159" s="238" t="s">
        <v>360</v>
      </c>
      <c r="G159" s="241">
        <f t="shared" ca="1" si="16"/>
        <v>0</v>
      </c>
      <c r="H159" s="241">
        <f t="shared" ca="1" si="16"/>
        <v>0</v>
      </c>
      <c r="I159" s="241">
        <f t="shared" ca="1" si="16"/>
        <v>0</v>
      </c>
      <c r="J159" s="241">
        <f t="shared" ca="1" si="16"/>
        <v>0</v>
      </c>
      <c r="K159" s="241">
        <f t="shared" ca="1" si="16"/>
        <v>0</v>
      </c>
      <c r="L159" s="241">
        <f t="shared" ca="1" si="16"/>
        <v>0</v>
      </c>
      <c r="M159" s="241">
        <f t="shared" ca="1" si="16"/>
        <v>0</v>
      </c>
      <c r="N159" s="241">
        <f t="shared" ca="1" si="17"/>
        <v>0</v>
      </c>
    </row>
    <row r="160" spans="2:15">
      <c r="D160" s="238" t="s">
        <v>231</v>
      </c>
      <c r="E160" s="238" t="s">
        <v>361</v>
      </c>
      <c r="G160" s="241">
        <f t="shared" ca="1" si="16"/>
        <v>0</v>
      </c>
      <c r="H160" s="241">
        <f t="shared" ca="1" si="16"/>
        <v>0</v>
      </c>
      <c r="I160" s="241">
        <f t="shared" ca="1" si="16"/>
        <v>0</v>
      </c>
      <c r="J160" s="241">
        <f t="shared" ca="1" si="16"/>
        <v>128.16</v>
      </c>
      <c r="K160" s="241">
        <f t="shared" ca="1" si="16"/>
        <v>9.6</v>
      </c>
      <c r="L160" s="241">
        <f t="shared" ca="1" si="16"/>
        <v>16.899999999999999</v>
      </c>
      <c r="M160" s="241">
        <f t="shared" ca="1" si="16"/>
        <v>70</v>
      </c>
      <c r="N160" s="241">
        <f t="shared" ca="1" si="17"/>
        <v>224.66</v>
      </c>
    </row>
    <row r="161" spans="1:16">
      <c r="D161" s="238" t="s">
        <v>362</v>
      </c>
      <c r="E161" s="238" t="s">
        <v>363</v>
      </c>
      <c r="G161" s="241">
        <f t="shared" ca="1" si="16"/>
        <v>0</v>
      </c>
      <c r="H161" s="241">
        <f t="shared" ca="1" si="16"/>
        <v>0</v>
      </c>
      <c r="I161" s="241">
        <f t="shared" ca="1" si="16"/>
        <v>0</v>
      </c>
      <c r="J161" s="241">
        <f t="shared" ca="1" si="16"/>
        <v>16.02</v>
      </c>
      <c r="K161" s="241">
        <f t="shared" ca="1" si="16"/>
        <v>27</v>
      </c>
      <c r="L161" s="241">
        <f t="shared" ca="1" si="16"/>
        <v>14.4</v>
      </c>
      <c r="M161" s="241">
        <f t="shared" ca="1" si="16"/>
        <v>92</v>
      </c>
      <c r="N161" s="241">
        <f t="shared" ca="1" si="17"/>
        <v>149.41999999999999</v>
      </c>
    </row>
    <row r="162" spans="1:16">
      <c r="D162" s="238" t="s">
        <v>364</v>
      </c>
      <c r="E162" s="238" t="s">
        <v>365</v>
      </c>
      <c r="G162" s="241">
        <f t="shared" ca="1" si="16"/>
        <v>0</v>
      </c>
      <c r="H162" s="241">
        <f t="shared" ca="1" si="16"/>
        <v>0</v>
      </c>
      <c r="I162" s="241">
        <f t="shared" ca="1" si="16"/>
        <v>0</v>
      </c>
      <c r="J162" s="241">
        <f t="shared" ca="1" si="16"/>
        <v>0</v>
      </c>
      <c r="K162" s="241">
        <f t="shared" ca="1" si="16"/>
        <v>0</v>
      </c>
      <c r="L162" s="241">
        <f t="shared" ca="1" si="16"/>
        <v>0</v>
      </c>
      <c r="M162" s="241">
        <f t="shared" ca="1" si="16"/>
        <v>0</v>
      </c>
      <c r="N162" s="241">
        <f t="shared" ca="1" si="17"/>
        <v>0</v>
      </c>
    </row>
    <row r="163" spans="1:16">
      <c r="D163" s="238" t="s">
        <v>235</v>
      </c>
      <c r="E163" s="238" t="s">
        <v>366</v>
      </c>
      <c r="G163" s="241">
        <f t="shared" ca="1" si="16"/>
        <v>0</v>
      </c>
      <c r="H163" s="241">
        <f t="shared" ca="1" si="16"/>
        <v>0</v>
      </c>
      <c r="I163" s="241">
        <f t="shared" ca="1" si="16"/>
        <v>0</v>
      </c>
      <c r="J163" s="241">
        <f t="shared" ca="1" si="16"/>
        <v>0</v>
      </c>
      <c r="K163" s="241">
        <f t="shared" ca="1" si="16"/>
        <v>0</v>
      </c>
      <c r="L163" s="241">
        <f t="shared" ca="1" si="16"/>
        <v>0</v>
      </c>
      <c r="M163" s="241">
        <f t="shared" ca="1" si="16"/>
        <v>0.15</v>
      </c>
      <c r="N163" s="241">
        <f t="shared" ca="1" si="17"/>
        <v>0.15</v>
      </c>
    </row>
    <row r="164" spans="1:16">
      <c r="D164" s="238" t="s">
        <v>367</v>
      </c>
      <c r="E164" s="238" t="s">
        <v>368</v>
      </c>
      <c r="G164" s="241">
        <f t="shared" ca="1" si="16"/>
        <v>0</v>
      </c>
      <c r="H164" s="241">
        <f t="shared" ca="1" si="16"/>
        <v>0</v>
      </c>
      <c r="I164" s="241">
        <f t="shared" ca="1" si="16"/>
        <v>0</v>
      </c>
      <c r="J164" s="241">
        <f t="shared" ca="1" si="16"/>
        <v>168.55</v>
      </c>
      <c r="K164" s="241">
        <f t="shared" ca="1" si="16"/>
        <v>1018.7</v>
      </c>
      <c r="L164" s="241">
        <f t="shared" ca="1" si="16"/>
        <v>70.510000000000005</v>
      </c>
      <c r="M164" s="241">
        <f t="shared" ca="1" si="16"/>
        <v>37.5</v>
      </c>
      <c r="N164" s="241">
        <f t="shared" ca="1" si="17"/>
        <v>1295.26</v>
      </c>
    </row>
    <row r="165" spans="1:16">
      <c r="D165" s="238" t="s">
        <v>216</v>
      </c>
      <c r="E165" s="238" t="s">
        <v>369</v>
      </c>
      <c r="G165" s="241">
        <f t="shared" ca="1" si="16"/>
        <v>0</v>
      </c>
      <c r="H165" s="241">
        <f t="shared" ca="1" si="16"/>
        <v>0</v>
      </c>
      <c r="I165" s="241">
        <f t="shared" ca="1" si="16"/>
        <v>0</v>
      </c>
      <c r="J165" s="241">
        <f t="shared" ca="1" si="16"/>
        <v>0</v>
      </c>
      <c r="K165" s="241">
        <f t="shared" ca="1" si="16"/>
        <v>0</v>
      </c>
      <c r="L165" s="241">
        <f t="shared" ca="1" si="16"/>
        <v>0</v>
      </c>
      <c r="M165" s="241">
        <f t="shared" ca="1" si="16"/>
        <v>0.6</v>
      </c>
      <c r="N165" s="241">
        <f t="shared" ca="1" si="17"/>
        <v>0.6</v>
      </c>
    </row>
    <row r="166" spans="1:16">
      <c r="D166" s="238" t="s">
        <v>370</v>
      </c>
      <c r="E166" s="238" t="s">
        <v>371</v>
      </c>
      <c r="G166" s="241">
        <f t="shared" ca="1" si="16"/>
        <v>0</v>
      </c>
      <c r="H166" s="241">
        <f t="shared" ca="1" si="16"/>
        <v>0</v>
      </c>
      <c r="I166" s="241">
        <f t="shared" ca="1" si="16"/>
        <v>0</v>
      </c>
      <c r="J166" s="241">
        <f t="shared" ca="1" si="16"/>
        <v>0.51</v>
      </c>
      <c r="K166" s="241">
        <f t="shared" ca="1" si="16"/>
        <v>0</v>
      </c>
      <c r="L166" s="241">
        <f t="shared" ca="1" si="16"/>
        <v>0</v>
      </c>
      <c r="M166" s="241">
        <f t="shared" ca="1" si="16"/>
        <v>8</v>
      </c>
      <c r="N166" s="241">
        <f t="shared" ca="1" si="17"/>
        <v>8.51</v>
      </c>
    </row>
    <row r="169" spans="1:16" s="689" customFormat="1" ht="15.75">
      <c r="A169" s="687"/>
      <c r="B169" s="688" t="s">
        <v>374</v>
      </c>
      <c r="C169" s="688"/>
      <c r="D169" s="688"/>
      <c r="E169" s="688"/>
      <c r="F169" s="688"/>
      <c r="G169" s="688"/>
      <c r="H169" s="688"/>
      <c r="I169" s="688"/>
      <c r="J169" s="688"/>
      <c r="K169" s="688"/>
      <c r="L169" s="688"/>
      <c r="M169" s="688"/>
      <c r="N169" s="688"/>
      <c r="O169" s="688"/>
      <c r="P169" s="688"/>
    </row>
    <row r="170" spans="1:16">
      <c r="C170" s="238" t="s">
        <v>375</v>
      </c>
    </row>
    <row r="171" spans="1:16" ht="25.5">
      <c r="B171" s="242" t="s">
        <v>376</v>
      </c>
      <c r="C171" s="239" t="s">
        <v>141</v>
      </c>
      <c r="D171" s="239" t="s">
        <v>349</v>
      </c>
      <c r="E171" s="239" t="s">
        <v>350</v>
      </c>
      <c r="F171" s="239" t="s">
        <v>377</v>
      </c>
      <c r="G171" s="239" t="s">
        <v>107</v>
      </c>
      <c r="H171" s="239" t="s">
        <v>109</v>
      </c>
      <c r="I171" s="239" t="s">
        <v>120</v>
      </c>
      <c r="J171" s="239" t="s">
        <v>110</v>
      </c>
      <c r="K171" s="239" t="s">
        <v>108</v>
      </c>
      <c r="L171" s="239" t="s">
        <v>122</v>
      </c>
      <c r="M171" s="239" t="s">
        <v>72</v>
      </c>
      <c r="N171" s="239" t="s">
        <v>73</v>
      </c>
      <c r="O171" s="239" t="s">
        <v>378</v>
      </c>
      <c r="P171" s="239" t="s">
        <v>379</v>
      </c>
    </row>
    <row r="172" spans="1:16" hidden="1">
      <c r="B172" s="238" t="s">
        <v>107</v>
      </c>
      <c r="C172" s="238" t="s">
        <v>78</v>
      </c>
      <c r="D172" s="238" t="s">
        <v>157</v>
      </c>
      <c r="E172" s="238" t="s">
        <v>352</v>
      </c>
      <c r="F172" s="243" t="str">
        <f t="shared" ref="F172:F235" si="18">CONCATENATE(C172," - ",E172)</f>
        <v>2012-13 - Plating &amp; heat treatment</v>
      </c>
      <c r="G172" s="244" t="s">
        <v>218</v>
      </c>
      <c r="H172" s="244">
        <v>0</v>
      </c>
      <c r="I172" s="244">
        <v>0</v>
      </c>
      <c r="J172" s="244">
        <v>0</v>
      </c>
      <c r="K172" s="244">
        <v>0</v>
      </c>
      <c r="L172" s="244">
        <v>0</v>
      </c>
      <c r="M172" s="244">
        <v>0.01</v>
      </c>
      <c r="N172" s="244">
        <v>0</v>
      </c>
      <c r="O172" s="244">
        <v>0</v>
      </c>
      <c r="P172" s="245"/>
    </row>
    <row r="173" spans="1:16" hidden="1">
      <c r="B173" s="238" t="s">
        <v>107</v>
      </c>
      <c r="C173" s="238" t="s">
        <v>78</v>
      </c>
      <c r="D173" s="238" t="s">
        <v>186</v>
      </c>
      <c r="E173" s="238" t="s">
        <v>353</v>
      </c>
      <c r="F173" s="243" t="str">
        <f t="shared" si="18"/>
        <v>2012-13 - Acids</v>
      </c>
      <c r="G173" s="244" t="s">
        <v>218</v>
      </c>
      <c r="H173" s="244">
        <v>8585.68</v>
      </c>
      <c r="I173" s="244">
        <v>11.11</v>
      </c>
      <c r="J173" s="244">
        <v>0.6</v>
      </c>
      <c r="K173" s="244">
        <v>0</v>
      </c>
      <c r="L173" s="244">
        <v>0</v>
      </c>
      <c r="M173" s="244">
        <v>0.55000000000000004</v>
      </c>
      <c r="N173" s="244">
        <v>0</v>
      </c>
      <c r="O173" s="244">
        <v>0</v>
      </c>
      <c r="P173" s="245"/>
    </row>
    <row r="174" spans="1:16" hidden="1">
      <c r="B174" s="238" t="s">
        <v>107</v>
      </c>
      <c r="C174" s="238" t="s">
        <v>78</v>
      </c>
      <c r="D174" s="238" t="s">
        <v>247</v>
      </c>
      <c r="E174" s="238" t="s">
        <v>354</v>
      </c>
      <c r="F174" s="243" t="str">
        <f t="shared" si="18"/>
        <v>2012-13 - Alkalis</v>
      </c>
      <c r="G174" s="244" t="s">
        <v>218</v>
      </c>
      <c r="H174" s="244">
        <v>454.64</v>
      </c>
      <c r="I174" s="244">
        <v>1.25</v>
      </c>
      <c r="J174" s="244">
        <v>0</v>
      </c>
      <c r="K174" s="244">
        <v>79.459999999999994</v>
      </c>
      <c r="L174" s="244">
        <v>0</v>
      </c>
      <c r="M174" s="244">
        <v>245.65</v>
      </c>
      <c r="N174" s="244">
        <v>0</v>
      </c>
      <c r="O174" s="244">
        <v>0</v>
      </c>
      <c r="P174" s="245"/>
    </row>
    <row r="175" spans="1:16">
      <c r="B175" s="238" t="s">
        <v>107</v>
      </c>
      <c r="C175" s="238" t="s">
        <v>78</v>
      </c>
      <c r="D175" s="238" t="s">
        <v>159</v>
      </c>
      <c r="E175" s="238" t="s">
        <v>355</v>
      </c>
      <c r="F175" s="243" t="str">
        <f t="shared" si="18"/>
        <v>2012-13 - Inorganic chemicals</v>
      </c>
      <c r="G175" s="244" t="s">
        <v>218</v>
      </c>
      <c r="H175" s="244">
        <v>12721.41</v>
      </c>
      <c r="I175" s="244">
        <v>11824.07</v>
      </c>
      <c r="J175" s="244">
        <v>5181.1400000000003</v>
      </c>
      <c r="K175" s="244">
        <v>3223.3</v>
      </c>
      <c r="L175" s="244">
        <v>4131.1099999999997</v>
      </c>
      <c r="M175" s="244">
        <v>227.52</v>
      </c>
      <c r="N175" s="244">
        <v>99.28</v>
      </c>
      <c r="O175" s="244">
        <v>0</v>
      </c>
      <c r="P175" s="245"/>
    </row>
    <row r="176" spans="1:16" hidden="1">
      <c r="B176" s="238" t="s">
        <v>107</v>
      </c>
      <c r="C176" s="238" t="s">
        <v>78</v>
      </c>
      <c r="D176" s="238" t="s">
        <v>356</v>
      </c>
      <c r="E176" s="238" t="s">
        <v>357</v>
      </c>
      <c r="F176" s="243" t="str">
        <f t="shared" si="18"/>
        <v>2012-13 - Reactive chemicals</v>
      </c>
      <c r="G176" s="244" t="s">
        <v>218</v>
      </c>
      <c r="H176" s="244">
        <v>0</v>
      </c>
      <c r="I176" s="244">
        <v>8.61</v>
      </c>
      <c r="J176" s="244">
        <v>1.67</v>
      </c>
      <c r="K176" s="244">
        <v>1.18</v>
      </c>
      <c r="L176" s="244">
        <v>0</v>
      </c>
      <c r="M176" s="244">
        <v>0.23</v>
      </c>
      <c r="N176" s="244">
        <v>0</v>
      </c>
      <c r="O176" s="244">
        <v>0</v>
      </c>
      <c r="P176" s="245"/>
    </row>
    <row r="177" spans="2:16" hidden="1">
      <c r="B177" s="238" t="s">
        <v>107</v>
      </c>
      <c r="C177" s="238" t="s">
        <v>78</v>
      </c>
      <c r="D177" s="238" t="s">
        <v>161</v>
      </c>
      <c r="E177" s="238" t="s">
        <v>358</v>
      </c>
      <c r="F177" s="243" t="str">
        <f t="shared" si="18"/>
        <v>2012-13 - Paints, resins, inks organic sludges</v>
      </c>
      <c r="G177" s="244" t="s">
        <v>218</v>
      </c>
      <c r="H177" s="244">
        <v>1647.54</v>
      </c>
      <c r="I177" s="244">
        <v>535.94000000000005</v>
      </c>
      <c r="J177" s="244">
        <v>250.76</v>
      </c>
      <c r="K177" s="244">
        <v>224.54</v>
      </c>
      <c r="L177" s="244">
        <v>0</v>
      </c>
      <c r="M177" s="244">
        <v>182.17</v>
      </c>
      <c r="N177" s="244">
        <v>0</v>
      </c>
      <c r="O177" s="244">
        <v>0</v>
      </c>
      <c r="P177" s="245"/>
    </row>
    <row r="178" spans="2:16" hidden="1">
      <c r="B178" s="238" t="s">
        <v>107</v>
      </c>
      <c r="C178" s="238" t="s">
        <v>78</v>
      </c>
      <c r="D178" s="238" t="s">
        <v>219</v>
      </c>
      <c r="E178" s="238" t="s">
        <v>359</v>
      </c>
      <c r="F178" s="243" t="str">
        <f t="shared" si="18"/>
        <v>2012-13 - Organic solvents</v>
      </c>
      <c r="G178" s="244" t="s">
        <v>218</v>
      </c>
      <c r="H178" s="244">
        <v>178.3</v>
      </c>
      <c r="I178" s="244">
        <v>455.61</v>
      </c>
      <c r="J178" s="244">
        <v>14.85</v>
      </c>
      <c r="K178" s="244">
        <v>40.97</v>
      </c>
      <c r="L178" s="244">
        <v>0</v>
      </c>
      <c r="M178" s="244">
        <v>63.8</v>
      </c>
      <c r="N178" s="244">
        <v>0</v>
      </c>
      <c r="O178" s="244">
        <v>0</v>
      </c>
      <c r="P178" s="245"/>
    </row>
    <row r="179" spans="2:16" hidden="1">
      <c r="B179" s="238" t="s">
        <v>107</v>
      </c>
      <c r="C179" s="238" t="s">
        <v>78</v>
      </c>
      <c r="D179" s="238" t="s">
        <v>228</v>
      </c>
      <c r="E179" s="238" t="s">
        <v>360</v>
      </c>
      <c r="F179" s="243" t="str">
        <f t="shared" si="18"/>
        <v>2012-13 - Pesticides</v>
      </c>
      <c r="G179" s="244" t="s">
        <v>218</v>
      </c>
      <c r="H179" s="244">
        <v>3.91</v>
      </c>
      <c r="I179" s="244">
        <v>19.88</v>
      </c>
      <c r="J179" s="244">
        <v>0.56000000000000005</v>
      </c>
      <c r="K179" s="244">
        <v>14.4</v>
      </c>
      <c r="L179" s="244">
        <v>0</v>
      </c>
      <c r="M179" s="244">
        <v>0.5</v>
      </c>
      <c r="N179" s="244">
        <v>0</v>
      </c>
      <c r="O179" s="244">
        <v>0</v>
      </c>
      <c r="P179" s="245"/>
    </row>
    <row r="180" spans="2:16" hidden="1">
      <c r="B180" s="238" t="s">
        <v>107</v>
      </c>
      <c r="C180" s="238" t="s">
        <v>78</v>
      </c>
      <c r="D180" s="238" t="s">
        <v>231</v>
      </c>
      <c r="E180" s="238" t="s">
        <v>361</v>
      </c>
      <c r="F180" s="243" t="str">
        <f t="shared" si="18"/>
        <v>2012-13 - Oils</v>
      </c>
      <c r="G180" s="244" t="s">
        <v>218</v>
      </c>
      <c r="H180" s="244">
        <v>3117.57</v>
      </c>
      <c r="I180" s="244">
        <v>920.71</v>
      </c>
      <c r="J180" s="244">
        <v>67.66</v>
      </c>
      <c r="K180" s="244">
        <v>4.4000000000000004</v>
      </c>
      <c r="L180" s="244">
        <v>68.59</v>
      </c>
      <c r="M180" s="244">
        <v>2499.69</v>
      </c>
      <c r="N180" s="244">
        <v>0</v>
      </c>
      <c r="O180" s="244">
        <v>0</v>
      </c>
      <c r="P180" s="245"/>
    </row>
    <row r="181" spans="2:16" hidden="1">
      <c r="B181" s="238" t="s">
        <v>107</v>
      </c>
      <c r="C181" s="238" t="s">
        <v>78</v>
      </c>
      <c r="D181" s="238" t="s">
        <v>362</v>
      </c>
      <c r="E181" s="238" t="s">
        <v>363</v>
      </c>
      <c r="F181" s="243" t="str">
        <f t="shared" si="18"/>
        <v>2012-13 - Putrescible/organic waste</v>
      </c>
      <c r="G181" s="244" t="s">
        <v>218</v>
      </c>
      <c r="H181" s="244">
        <v>2774.93</v>
      </c>
      <c r="I181" s="244">
        <v>0</v>
      </c>
      <c r="J181" s="244">
        <v>0</v>
      </c>
      <c r="K181" s="244">
        <v>0</v>
      </c>
      <c r="L181" s="244">
        <v>0</v>
      </c>
      <c r="M181" s="244">
        <v>5599.51</v>
      </c>
      <c r="N181" s="244">
        <v>0</v>
      </c>
      <c r="O181" s="244">
        <v>0</v>
      </c>
      <c r="P181" s="245"/>
    </row>
    <row r="182" spans="2:16" hidden="1">
      <c r="B182" s="238" t="s">
        <v>107</v>
      </c>
      <c r="C182" s="238" t="s">
        <v>78</v>
      </c>
      <c r="D182" s="238" t="s">
        <v>364</v>
      </c>
      <c r="E182" s="238" t="s">
        <v>365</v>
      </c>
      <c r="F182" s="243" t="str">
        <f t="shared" si="18"/>
        <v>2012-13 - Industrial washwater</v>
      </c>
      <c r="G182" s="244" t="s">
        <v>218</v>
      </c>
      <c r="H182" s="244">
        <v>0</v>
      </c>
      <c r="I182" s="244">
        <v>0</v>
      </c>
      <c r="J182" s="244">
        <v>0</v>
      </c>
      <c r="K182" s="244">
        <v>0</v>
      </c>
      <c r="L182" s="244">
        <v>0</v>
      </c>
      <c r="M182" s="244">
        <v>0</v>
      </c>
      <c r="N182" s="244">
        <v>0</v>
      </c>
      <c r="O182" s="244">
        <v>0</v>
      </c>
      <c r="P182" s="245"/>
    </row>
    <row r="183" spans="2:16" hidden="1">
      <c r="B183" s="238" t="s">
        <v>107</v>
      </c>
      <c r="C183" s="238" t="s">
        <v>78</v>
      </c>
      <c r="D183" s="238" t="s">
        <v>235</v>
      </c>
      <c r="E183" s="238" t="s">
        <v>366</v>
      </c>
      <c r="F183" s="243" t="str">
        <f t="shared" si="18"/>
        <v>2012-13 - Organic chemicals</v>
      </c>
      <c r="G183" s="244" t="s">
        <v>218</v>
      </c>
      <c r="H183" s="244">
        <v>28.95</v>
      </c>
      <c r="I183" s="244">
        <v>1258</v>
      </c>
      <c r="J183" s="244">
        <v>78.8</v>
      </c>
      <c r="K183" s="244">
        <v>61.98</v>
      </c>
      <c r="L183" s="244">
        <v>18.93</v>
      </c>
      <c r="M183" s="244">
        <v>41.31</v>
      </c>
      <c r="N183" s="244">
        <v>70.5</v>
      </c>
      <c r="O183" s="244">
        <v>0</v>
      </c>
      <c r="P183" s="245"/>
    </row>
    <row r="184" spans="2:16" hidden="1">
      <c r="B184" s="238" t="s">
        <v>107</v>
      </c>
      <c r="C184" s="238" t="s">
        <v>78</v>
      </c>
      <c r="D184" s="238" t="s">
        <v>367</v>
      </c>
      <c r="E184" s="238" t="s">
        <v>368</v>
      </c>
      <c r="F184" s="243" t="str">
        <f t="shared" si="18"/>
        <v>2012-13 - Soil/sludge</v>
      </c>
      <c r="G184" s="244" t="s">
        <v>218</v>
      </c>
      <c r="H184" s="244">
        <v>1797.21</v>
      </c>
      <c r="I184" s="244">
        <v>324.49</v>
      </c>
      <c r="J184" s="244">
        <v>6</v>
      </c>
      <c r="K184" s="244">
        <v>358.1</v>
      </c>
      <c r="L184" s="244">
        <v>0</v>
      </c>
      <c r="M184" s="244">
        <v>2013.59</v>
      </c>
      <c r="N184" s="244">
        <v>0</v>
      </c>
      <c r="O184" s="244">
        <v>0</v>
      </c>
      <c r="P184" s="245"/>
    </row>
    <row r="185" spans="2:16" hidden="1">
      <c r="B185" s="238" t="s">
        <v>107</v>
      </c>
      <c r="C185" s="238" t="s">
        <v>78</v>
      </c>
      <c r="D185" s="238" t="s">
        <v>216</v>
      </c>
      <c r="E185" s="238" t="s">
        <v>369</v>
      </c>
      <c r="F185" s="243" t="str">
        <f t="shared" si="18"/>
        <v>2012-13 - Clinical &amp; pharmaceutical</v>
      </c>
      <c r="G185" s="244" t="s">
        <v>218</v>
      </c>
      <c r="H185" s="244">
        <v>0.31</v>
      </c>
      <c r="I185" s="244">
        <v>14.98</v>
      </c>
      <c r="J185" s="244">
        <v>27.49</v>
      </c>
      <c r="K185" s="244">
        <v>18.170000000000002</v>
      </c>
      <c r="L185" s="244">
        <v>0</v>
      </c>
      <c r="M185" s="244">
        <v>293.83999999999997</v>
      </c>
      <c r="N185" s="244">
        <v>0</v>
      </c>
      <c r="O185" s="244">
        <v>0</v>
      </c>
      <c r="P185" s="245"/>
    </row>
    <row r="186" spans="2:16" hidden="1">
      <c r="B186" s="238" t="s">
        <v>107</v>
      </c>
      <c r="C186" s="238" t="s">
        <v>78</v>
      </c>
      <c r="D186" s="238" t="s">
        <v>370</v>
      </c>
      <c r="E186" s="238" t="s">
        <v>371</v>
      </c>
      <c r="F186" s="243" t="str">
        <f t="shared" si="18"/>
        <v>2012-13 - Misc.</v>
      </c>
      <c r="G186" s="244" t="s">
        <v>218</v>
      </c>
      <c r="H186" s="244">
        <v>6.16</v>
      </c>
      <c r="I186" s="244"/>
      <c r="J186" s="244">
        <v>12.58</v>
      </c>
      <c r="K186" s="244">
        <v>0.71</v>
      </c>
      <c r="L186" s="244">
        <v>0</v>
      </c>
      <c r="M186" s="244">
        <v>1407.22</v>
      </c>
      <c r="N186" s="244">
        <v>0</v>
      </c>
      <c r="O186" s="244">
        <v>0</v>
      </c>
      <c r="P186" s="245"/>
    </row>
    <row r="187" spans="2:16" hidden="1">
      <c r="B187" s="238" t="s">
        <v>107</v>
      </c>
      <c r="C187" s="238" t="s">
        <v>79</v>
      </c>
      <c r="D187" s="238" t="s">
        <v>157</v>
      </c>
      <c r="E187" s="238" t="s">
        <v>352</v>
      </c>
      <c r="F187" s="243" t="str">
        <f t="shared" si="18"/>
        <v>2011-12 - Plating &amp; heat treatment</v>
      </c>
      <c r="G187" s="244" t="s">
        <v>218</v>
      </c>
      <c r="H187" s="244"/>
      <c r="I187" s="244"/>
      <c r="J187" s="244"/>
      <c r="K187" s="244"/>
      <c r="L187" s="244"/>
      <c r="M187" s="244"/>
      <c r="N187" s="244"/>
      <c r="O187" s="244"/>
      <c r="P187" s="245" t="s">
        <v>330</v>
      </c>
    </row>
    <row r="188" spans="2:16" hidden="1">
      <c r="B188" s="238" t="s">
        <v>107</v>
      </c>
      <c r="C188" s="238" t="s">
        <v>79</v>
      </c>
      <c r="D188" s="238" t="s">
        <v>186</v>
      </c>
      <c r="E188" s="238" t="s">
        <v>353</v>
      </c>
      <c r="F188" s="243" t="str">
        <f t="shared" si="18"/>
        <v>2011-12 - Acids</v>
      </c>
      <c r="G188" s="244" t="s">
        <v>218</v>
      </c>
      <c r="H188" s="244">
        <v>7022.88</v>
      </c>
      <c r="I188" s="244">
        <v>41.91</v>
      </c>
      <c r="J188" s="244">
        <v>4.2300000000000004</v>
      </c>
      <c r="K188" s="244"/>
      <c r="L188" s="244"/>
      <c r="M188" s="244">
        <v>3.37</v>
      </c>
      <c r="N188" s="244"/>
      <c r="O188" s="244"/>
      <c r="P188" s="245" t="s">
        <v>330</v>
      </c>
    </row>
    <row r="189" spans="2:16" hidden="1">
      <c r="B189" s="238" t="s">
        <v>107</v>
      </c>
      <c r="C189" s="238" t="s">
        <v>79</v>
      </c>
      <c r="D189" s="238" t="s">
        <v>247</v>
      </c>
      <c r="E189" s="238" t="s">
        <v>354</v>
      </c>
      <c r="F189" s="243" t="str">
        <f t="shared" si="18"/>
        <v>2011-12 - Alkalis</v>
      </c>
      <c r="G189" s="244" t="s">
        <v>218</v>
      </c>
      <c r="H189" s="244">
        <v>562.9</v>
      </c>
      <c r="I189" s="244">
        <v>3.46</v>
      </c>
      <c r="J189" s="244"/>
      <c r="K189" s="244">
        <v>31</v>
      </c>
      <c r="L189" s="244" t="s">
        <v>330</v>
      </c>
      <c r="M189" s="244">
        <v>14.25</v>
      </c>
      <c r="N189" s="244" t="s">
        <v>330</v>
      </c>
      <c r="O189" s="244"/>
      <c r="P189" s="245" t="s">
        <v>330</v>
      </c>
    </row>
    <row r="190" spans="2:16">
      <c r="B190" s="238" t="s">
        <v>107</v>
      </c>
      <c r="C190" s="238" t="s">
        <v>79</v>
      </c>
      <c r="D190" s="238" t="s">
        <v>159</v>
      </c>
      <c r="E190" s="238" t="s">
        <v>355</v>
      </c>
      <c r="F190" s="243" t="str">
        <f t="shared" si="18"/>
        <v>2011-12 - Inorganic chemicals</v>
      </c>
      <c r="G190" s="244" t="s">
        <v>218</v>
      </c>
      <c r="H190" s="244">
        <v>12031.03</v>
      </c>
      <c r="I190" s="244">
        <v>14517.29</v>
      </c>
      <c r="J190" s="244">
        <v>5587.45</v>
      </c>
      <c r="K190" s="244">
        <v>3556.28</v>
      </c>
      <c r="L190" s="244">
        <v>1535.23</v>
      </c>
      <c r="M190" s="244">
        <v>245.91</v>
      </c>
      <c r="N190" s="244">
        <v>303.20999999999998</v>
      </c>
      <c r="O190" s="244"/>
      <c r="P190" s="245" t="s">
        <v>330</v>
      </c>
    </row>
    <row r="191" spans="2:16" hidden="1">
      <c r="B191" s="238" t="s">
        <v>107</v>
      </c>
      <c r="C191" s="238" t="s">
        <v>79</v>
      </c>
      <c r="D191" s="238" t="s">
        <v>356</v>
      </c>
      <c r="E191" s="238" t="s">
        <v>357</v>
      </c>
      <c r="F191" s="243" t="str">
        <f t="shared" si="18"/>
        <v>2011-12 - Reactive chemicals</v>
      </c>
      <c r="G191" s="244" t="s">
        <v>218</v>
      </c>
      <c r="H191" s="244">
        <v>10.16</v>
      </c>
      <c r="I191" s="244" t="s">
        <v>330</v>
      </c>
      <c r="J191" s="244">
        <v>0.77</v>
      </c>
      <c r="K191" s="244" t="s">
        <v>330</v>
      </c>
      <c r="L191" s="244" t="s">
        <v>330</v>
      </c>
      <c r="M191" s="244">
        <v>0.03</v>
      </c>
      <c r="N191" s="244" t="s">
        <v>330</v>
      </c>
      <c r="O191" s="244"/>
      <c r="P191" s="245" t="s">
        <v>330</v>
      </c>
    </row>
    <row r="192" spans="2:16" hidden="1">
      <c r="B192" s="238" t="s">
        <v>107</v>
      </c>
      <c r="C192" s="238" t="s">
        <v>79</v>
      </c>
      <c r="D192" s="238" t="s">
        <v>161</v>
      </c>
      <c r="E192" s="238" t="s">
        <v>358</v>
      </c>
      <c r="F192" s="243" t="str">
        <f t="shared" si="18"/>
        <v>2011-12 - Paints, resins, inks organic sludges</v>
      </c>
      <c r="G192" s="244" t="s">
        <v>218</v>
      </c>
      <c r="H192" s="244">
        <v>2039.62</v>
      </c>
      <c r="I192" s="244">
        <v>1389.75</v>
      </c>
      <c r="J192" s="244">
        <v>12.55</v>
      </c>
      <c r="K192" s="244">
        <v>270.47000000000003</v>
      </c>
      <c r="L192" s="244" t="s">
        <v>330</v>
      </c>
      <c r="M192" s="244">
        <v>64.61</v>
      </c>
      <c r="N192" s="244" t="s">
        <v>330</v>
      </c>
      <c r="O192" s="244"/>
      <c r="P192" s="245" t="s">
        <v>330</v>
      </c>
    </row>
    <row r="193" spans="2:16" hidden="1">
      <c r="B193" s="238" t="s">
        <v>107</v>
      </c>
      <c r="C193" s="238" t="s">
        <v>79</v>
      </c>
      <c r="D193" s="238" t="s">
        <v>219</v>
      </c>
      <c r="E193" s="238" t="s">
        <v>359</v>
      </c>
      <c r="F193" s="243" t="str">
        <f t="shared" si="18"/>
        <v>2011-12 - Organic solvents</v>
      </c>
      <c r="G193" s="244" t="s">
        <v>218</v>
      </c>
      <c r="H193" s="244">
        <v>93.93</v>
      </c>
      <c r="I193" s="244">
        <v>254.47</v>
      </c>
      <c r="J193" s="244">
        <v>3.05</v>
      </c>
      <c r="K193" s="244">
        <v>33.97</v>
      </c>
      <c r="L193" s="244" t="s">
        <v>330</v>
      </c>
      <c r="M193" s="244">
        <v>49.07</v>
      </c>
      <c r="N193" s="244" t="s">
        <v>330</v>
      </c>
      <c r="O193" s="244"/>
      <c r="P193" s="245" t="s">
        <v>330</v>
      </c>
    </row>
    <row r="194" spans="2:16" hidden="1">
      <c r="B194" s="238" t="s">
        <v>107</v>
      </c>
      <c r="C194" s="238" t="s">
        <v>79</v>
      </c>
      <c r="D194" s="238" t="s">
        <v>228</v>
      </c>
      <c r="E194" s="238" t="s">
        <v>360</v>
      </c>
      <c r="F194" s="243" t="str">
        <f t="shared" si="18"/>
        <v>2011-12 - Pesticides</v>
      </c>
      <c r="G194" s="244" t="s">
        <v>218</v>
      </c>
      <c r="H194" s="244">
        <v>41.19</v>
      </c>
      <c r="I194" s="244">
        <v>80.260000000000005</v>
      </c>
      <c r="J194" s="244">
        <v>1.17</v>
      </c>
      <c r="K194" s="244" t="s">
        <v>330</v>
      </c>
      <c r="L194" s="244" t="s">
        <v>330</v>
      </c>
      <c r="M194" s="244">
        <v>0.25</v>
      </c>
      <c r="N194" s="244" t="s">
        <v>330</v>
      </c>
      <c r="O194" s="244"/>
      <c r="P194" s="245" t="s">
        <v>330</v>
      </c>
    </row>
    <row r="195" spans="2:16" hidden="1">
      <c r="B195" s="238" t="s">
        <v>107</v>
      </c>
      <c r="C195" s="238" t="s">
        <v>79</v>
      </c>
      <c r="D195" s="238" t="s">
        <v>231</v>
      </c>
      <c r="E195" s="238" t="s">
        <v>361</v>
      </c>
      <c r="F195" s="243" t="str">
        <f t="shared" si="18"/>
        <v>2011-12 - Oils</v>
      </c>
      <c r="G195" s="244" t="s">
        <v>218</v>
      </c>
      <c r="H195" s="244">
        <v>2705.43</v>
      </c>
      <c r="I195" s="244">
        <v>6553.14</v>
      </c>
      <c r="J195" s="244">
        <v>33.619999999999997</v>
      </c>
      <c r="K195" s="244">
        <v>20.49</v>
      </c>
      <c r="L195" s="244">
        <v>11.29</v>
      </c>
      <c r="M195" s="244">
        <v>2724.2</v>
      </c>
      <c r="N195" s="244" t="s">
        <v>330</v>
      </c>
      <c r="O195" s="244"/>
      <c r="P195" s="245" t="s">
        <v>330</v>
      </c>
    </row>
    <row r="196" spans="2:16" hidden="1">
      <c r="B196" s="238" t="s">
        <v>107</v>
      </c>
      <c r="C196" s="238" t="s">
        <v>79</v>
      </c>
      <c r="D196" s="238" t="s">
        <v>362</v>
      </c>
      <c r="E196" s="238" t="s">
        <v>363</v>
      </c>
      <c r="F196" s="243" t="str">
        <f t="shared" si="18"/>
        <v>2011-12 - Putrescible/organic waste</v>
      </c>
      <c r="G196" s="244" t="s">
        <v>218</v>
      </c>
      <c r="H196" s="244">
        <v>3000.51</v>
      </c>
      <c r="I196" s="244" t="s">
        <v>330</v>
      </c>
      <c r="J196" s="244" t="s">
        <v>330</v>
      </c>
      <c r="K196" s="244" t="s">
        <v>330</v>
      </c>
      <c r="L196" s="244" t="s">
        <v>330</v>
      </c>
      <c r="M196" s="244">
        <v>5167.57</v>
      </c>
      <c r="N196" s="244" t="s">
        <v>330</v>
      </c>
      <c r="O196" s="244"/>
      <c r="P196" s="245" t="s">
        <v>330</v>
      </c>
    </row>
    <row r="197" spans="2:16" hidden="1">
      <c r="B197" s="238" t="s">
        <v>107</v>
      </c>
      <c r="C197" s="238" t="s">
        <v>79</v>
      </c>
      <c r="D197" s="238" t="s">
        <v>364</v>
      </c>
      <c r="E197" s="238" t="s">
        <v>365</v>
      </c>
      <c r="F197" s="243" t="str">
        <f t="shared" si="18"/>
        <v>2011-12 - Industrial washwater</v>
      </c>
      <c r="G197" s="244" t="s">
        <v>218</v>
      </c>
      <c r="H197" s="244" t="s">
        <v>330</v>
      </c>
      <c r="I197" s="244" t="s">
        <v>330</v>
      </c>
      <c r="J197" s="244" t="s">
        <v>330</v>
      </c>
      <c r="K197" s="244" t="s">
        <v>330</v>
      </c>
      <c r="L197" s="244" t="s">
        <v>330</v>
      </c>
      <c r="M197" s="244" t="s">
        <v>330</v>
      </c>
      <c r="N197" s="244" t="s">
        <v>330</v>
      </c>
      <c r="O197" s="244"/>
      <c r="P197" s="245" t="s">
        <v>330</v>
      </c>
    </row>
    <row r="198" spans="2:16" hidden="1">
      <c r="B198" s="238" t="s">
        <v>107</v>
      </c>
      <c r="C198" s="238" t="s">
        <v>79</v>
      </c>
      <c r="D198" s="238" t="s">
        <v>235</v>
      </c>
      <c r="E198" s="238" t="s">
        <v>366</v>
      </c>
      <c r="F198" s="243" t="str">
        <f t="shared" si="18"/>
        <v>2011-12 - Organic chemicals</v>
      </c>
      <c r="G198" s="244" t="s">
        <v>218</v>
      </c>
      <c r="H198" s="244">
        <v>59.25</v>
      </c>
      <c r="I198" s="244">
        <v>1943.77</v>
      </c>
      <c r="J198" s="244">
        <v>32.57</v>
      </c>
      <c r="K198" s="244">
        <v>69.64</v>
      </c>
      <c r="L198" s="244">
        <v>52.54</v>
      </c>
      <c r="M198" s="244">
        <v>16.010000000000002</v>
      </c>
      <c r="N198" s="244">
        <v>33.6</v>
      </c>
      <c r="O198" s="244"/>
      <c r="P198" s="245" t="s">
        <v>330</v>
      </c>
    </row>
    <row r="199" spans="2:16" hidden="1">
      <c r="B199" s="238" t="s">
        <v>107</v>
      </c>
      <c r="C199" s="238" t="s">
        <v>79</v>
      </c>
      <c r="D199" s="238" t="s">
        <v>367</v>
      </c>
      <c r="E199" s="238" t="s">
        <v>368</v>
      </c>
      <c r="F199" s="243" t="str">
        <f t="shared" si="18"/>
        <v>2011-12 - Soil/sludge</v>
      </c>
      <c r="G199" s="244" t="s">
        <v>218</v>
      </c>
      <c r="H199" s="244">
        <v>1227.27</v>
      </c>
      <c r="I199" s="244">
        <v>230.88</v>
      </c>
      <c r="J199" s="244">
        <v>0.47</v>
      </c>
      <c r="K199" s="244">
        <v>22.08</v>
      </c>
      <c r="L199" s="244">
        <v>1.88</v>
      </c>
      <c r="M199" s="244">
        <v>696.93</v>
      </c>
      <c r="N199" s="244" t="s">
        <v>330</v>
      </c>
      <c r="O199" s="244"/>
      <c r="P199" s="245" t="s">
        <v>330</v>
      </c>
    </row>
    <row r="200" spans="2:16" hidden="1">
      <c r="B200" s="238" t="s">
        <v>107</v>
      </c>
      <c r="C200" s="238" t="s">
        <v>79</v>
      </c>
      <c r="D200" s="238" t="s">
        <v>216</v>
      </c>
      <c r="E200" s="238" t="s">
        <v>369</v>
      </c>
      <c r="F200" s="243" t="str">
        <f t="shared" si="18"/>
        <v>2011-12 - Clinical &amp; pharmaceutical</v>
      </c>
      <c r="G200" s="244" t="s">
        <v>218</v>
      </c>
      <c r="H200" s="244">
        <v>13.82</v>
      </c>
      <c r="I200" s="244" t="s">
        <v>330</v>
      </c>
      <c r="J200" s="244" t="s">
        <v>330</v>
      </c>
      <c r="K200" s="244" t="s">
        <v>330</v>
      </c>
      <c r="L200" s="244" t="s">
        <v>330</v>
      </c>
      <c r="M200" s="244">
        <v>263.92</v>
      </c>
      <c r="N200" s="244" t="s">
        <v>330</v>
      </c>
      <c r="O200" s="244"/>
      <c r="P200" s="245" t="s">
        <v>330</v>
      </c>
    </row>
    <row r="201" spans="2:16" hidden="1">
      <c r="B201" s="238" t="s">
        <v>107</v>
      </c>
      <c r="C201" s="238" t="s">
        <v>79</v>
      </c>
      <c r="D201" s="238" t="s">
        <v>370</v>
      </c>
      <c r="E201" s="238" t="s">
        <v>371</v>
      </c>
      <c r="F201" s="243" t="str">
        <f t="shared" si="18"/>
        <v>2011-12 - Misc.</v>
      </c>
      <c r="G201" s="244" t="s">
        <v>218</v>
      </c>
      <c r="H201" s="244" t="s">
        <v>330</v>
      </c>
      <c r="I201" s="244">
        <v>7.22</v>
      </c>
      <c r="J201" s="244">
        <v>10.73</v>
      </c>
      <c r="K201" s="244" t="s">
        <v>330</v>
      </c>
      <c r="L201" s="244" t="s">
        <v>330</v>
      </c>
      <c r="M201" s="244">
        <v>938.18</v>
      </c>
      <c r="N201" s="244" t="s">
        <v>330</v>
      </c>
      <c r="O201" s="244"/>
      <c r="P201" s="245" t="s">
        <v>330</v>
      </c>
    </row>
    <row r="202" spans="2:16" hidden="1">
      <c r="B202" s="238" t="s">
        <v>107</v>
      </c>
      <c r="C202" s="238" t="s">
        <v>80</v>
      </c>
      <c r="D202" s="238" t="s">
        <v>157</v>
      </c>
      <c r="E202" s="238" t="s">
        <v>352</v>
      </c>
      <c r="F202" s="243" t="str">
        <f t="shared" si="18"/>
        <v>2010-11 - Plating &amp; heat treatment</v>
      </c>
      <c r="G202" s="244" t="s">
        <v>218</v>
      </c>
      <c r="H202" s="244">
        <v>4</v>
      </c>
      <c r="I202" s="244"/>
      <c r="J202" s="244"/>
      <c r="K202" s="244"/>
      <c r="L202" s="244"/>
      <c r="M202" s="244"/>
      <c r="N202" s="244"/>
      <c r="O202" s="244"/>
      <c r="P202" s="245"/>
    </row>
    <row r="203" spans="2:16" hidden="1">
      <c r="B203" s="238" t="s">
        <v>107</v>
      </c>
      <c r="C203" s="238" t="s">
        <v>80</v>
      </c>
      <c r="D203" s="238" t="s">
        <v>186</v>
      </c>
      <c r="E203" s="238" t="s">
        <v>353</v>
      </c>
      <c r="F203" s="243" t="str">
        <f t="shared" si="18"/>
        <v>2010-11 - Acids</v>
      </c>
      <c r="G203" s="244" t="s">
        <v>218</v>
      </c>
      <c r="H203" s="244">
        <v>10903.45</v>
      </c>
      <c r="I203" s="244">
        <v>65.11</v>
      </c>
      <c r="J203" s="244"/>
      <c r="K203" s="244"/>
      <c r="L203" s="244"/>
      <c r="M203" s="244">
        <v>0.49</v>
      </c>
      <c r="N203" s="244"/>
      <c r="O203" s="244"/>
      <c r="P203" s="245"/>
    </row>
    <row r="204" spans="2:16" hidden="1">
      <c r="B204" s="238" t="s">
        <v>107</v>
      </c>
      <c r="C204" s="238" t="s">
        <v>80</v>
      </c>
      <c r="D204" s="238" t="s">
        <v>247</v>
      </c>
      <c r="E204" s="238" t="s">
        <v>354</v>
      </c>
      <c r="F204" s="243" t="str">
        <f t="shared" si="18"/>
        <v>2010-11 - Alkalis</v>
      </c>
      <c r="G204" s="244" t="s">
        <v>218</v>
      </c>
      <c r="H204" s="244">
        <v>489.2</v>
      </c>
      <c r="I204" s="244">
        <v>53.98</v>
      </c>
      <c r="J204" s="244">
        <v>2.38</v>
      </c>
      <c r="K204" s="244">
        <v>1.39</v>
      </c>
      <c r="L204" s="244"/>
      <c r="M204" s="244">
        <v>1.07</v>
      </c>
      <c r="N204" s="244"/>
      <c r="O204" s="244"/>
      <c r="P204" s="245"/>
    </row>
    <row r="205" spans="2:16">
      <c r="B205" s="238" t="s">
        <v>107</v>
      </c>
      <c r="C205" s="238" t="s">
        <v>80</v>
      </c>
      <c r="D205" s="238" t="s">
        <v>159</v>
      </c>
      <c r="E205" s="238" t="s">
        <v>355</v>
      </c>
      <c r="F205" s="243" t="str">
        <f t="shared" si="18"/>
        <v>2010-11 - Inorganic chemicals</v>
      </c>
      <c r="G205" s="244" t="s">
        <v>218</v>
      </c>
      <c r="H205" s="244">
        <v>7747.34</v>
      </c>
      <c r="I205" s="244">
        <v>10936.05</v>
      </c>
      <c r="J205" s="244">
        <v>5804.35</v>
      </c>
      <c r="K205" s="244">
        <v>397.77</v>
      </c>
      <c r="L205" s="244">
        <v>3591.28</v>
      </c>
      <c r="M205" s="244">
        <v>30.82</v>
      </c>
      <c r="N205" s="244">
        <v>264.02</v>
      </c>
      <c r="O205" s="244"/>
      <c r="P205" s="245"/>
    </row>
    <row r="206" spans="2:16" hidden="1">
      <c r="B206" s="238" t="s">
        <v>107</v>
      </c>
      <c r="C206" s="238" t="s">
        <v>80</v>
      </c>
      <c r="D206" s="238" t="s">
        <v>356</v>
      </c>
      <c r="E206" s="238" t="s">
        <v>357</v>
      </c>
      <c r="F206" s="243" t="str">
        <f t="shared" si="18"/>
        <v>2010-11 - Reactive chemicals</v>
      </c>
      <c r="G206" s="244" t="s">
        <v>218</v>
      </c>
      <c r="H206" s="244"/>
      <c r="I206" s="244">
        <v>0.09</v>
      </c>
      <c r="J206" s="244">
        <v>4.75</v>
      </c>
      <c r="K206" s="244"/>
      <c r="L206" s="244"/>
      <c r="M206" s="244"/>
      <c r="N206" s="244"/>
      <c r="O206" s="244"/>
      <c r="P206" s="245"/>
    </row>
    <row r="207" spans="2:16" hidden="1">
      <c r="B207" s="238" t="s">
        <v>107</v>
      </c>
      <c r="C207" s="238" t="s">
        <v>80</v>
      </c>
      <c r="D207" s="238" t="s">
        <v>161</v>
      </c>
      <c r="E207" s="238" t="s">
        <v>358</v>
      </c>
      <c r="F207" s="243" t="str">
        <f t="shared" si="18"/>
        <v>2010-11 - Paints, resins, inks organic sludges</v>
      </c>
      <c r="G207" s="244" t="s">
        <v>218</v>
      </c>
      <c r="H207" s="244">
        <v>588.27</v>
      </c>
      <c r="I207" s="244">
        <v>795.7</v>
      </c>
      <c r="J207" s="244"/>
      <c r="K207" s="244">
        <v>209.4</v>
      </c>
      <c r="L207" s="244"/>
      <c r="M207" s="244">
        <v>34.64</v>
      </c>
      <c r="N207" s="244"/>
      <c r="O207" s="244"/>
      <c r="P207" s="245"/>
    </row>
    <row r="208" spans="2:16" hidden="1">
      <c r="B208" s="238" t="s">
        <v>107</v>
      </c>
      <c r="C208" s="238" t="s">
        <v>80</v>
      </c>
      <c r="D208" s="238" t="s">
        <v>219</v>
      </c>
      <c r="E208" s="238" t="s">
        <v>359</v>
      </c>
      <c r="F208" s="243" t="str">
        <f t="shared" si="18"/>
        <v>2010-11 - Organic solvents</v>
      </c>
      <c r="G208" s="244" t="s">
        <v>218</v>
      </c>
      <c r="H208" s="244">
        <v>98.04</v>
      </c>
      <c r="I208" s="244">
        <v>359.36</v>
      </c>
      <c r="J208" s="244">
        <v>3.21</v>
      </c>
      <c r="K208" s="244">
        <v>156.02000000000001</v>
      </c>
      <c r="L208" s="244"/>
      <c r="M208" s="244">
        <v>17.989999999999998</v>
      </c>
      <c r="N208" s="244"/>
      <c r="O208" s="244"/>
      <c r="P208" s="245"/>
    </row>
    <row r="209" spans="2:16" hidden="1">
      <c r="B209" s="238" t="s">
        <v>107</v>
      </c>
      <c r="C209" s="238" t="s">
        <v>80</v>
      </c>
      <c r="D209" s="238" t="s">
        <v>228</v>
      </c>
      <c r="E209" s="238" t="s">
        <v>360</v>
      </c>
      <c r="F209" s="243" t="str">
        <f t="shared" si="18"/>
        <v>2010-11 - Pesticides</v>
      </c>
      <c r="G209" s="244" t="s">
        <v>218</v>
      </c>
      <c r="H209" s="244"/>
      <c r="I209" s="244">
        <v>35.770000000000003</v>
      </c>
      <c r="J209" s="244">
        <v>2.85</v>
      </c>
      <c r="K209" s="244"/>
      <c r="L209" s="244"/>
      <c r="M209" s="244">
        <v>0.3</v>
      </c>
      <c r="N209" s="244"/>
      <c r="O209" s="244"/>
      <c r="P209" s="245"/>
    </row>
    <row r="210" spans="2:16" hidden="1">
      <c r="B210" s="238" t="s">
        <v>107</v>
      </c>
      <c r="C210" s="238" t="s">
        <v>80</v>
      </c>
      <c r="D210" s="238" t="s">
        <v>231</v>
      </c>
      <c r="E210" s="238" t="s">
        <v>361</v>
      </c>
      <c r="F210" s="243" t="str">
        <f t="shared" si="18"/>
        <v>2010-11 - Oils</v>
      </c>
      <c r="G210" s="244" t="s">
        <v>218</v>
      </c>
      <c r="H210" s="244">
        <v>2765.27</v>
      </c>
      <c r="I210" s="244">
        <v>4040.14</v>
      </c>
      <c r="J210" s="244">
        <v>45.48</v>
      </c>
      <c r="K210" s="244">
        <v>28.8</v>
      </c>
      <c r="L210" s="244">
        <v>210.37</v>
      </c>
      <c r="M210" s="244">
        <v>1655.95</v>
      </c>
      <c r="N210" s="244"/>
      <c r="O210" s="244"/>
      <c r="P210" s="245"/>
    </row>
    <row r="211" spans="2:16" hidden="1">
      <c r="B211" s="238" t="s">
        <v>107</v>
      </c>
      <c r="C211" s="238" t="s">
        <v>80</v>
      </c>
      <c r="D211" s="238" t="s">
        <v>362</v>
      </c>
      <c r="E211" s="238" t="s">
        <v>363</v>
      </c>
      <c r="F211" s="243" t="str">
        <f t="shared" si="18"/>
        <v>2010-11 - Putrescible/organic waste</v>
      </c>
      <c r="G211" s="244" t="s">
        <v>218</v>
      </c>
      <c r="H211" s="244">
        <v>4144.3</v>
      </c>
      <c r="I211" s="244"/>
      <c r="J211" s="244"/>
      <c r="K211" s="244"/>
      <c r="L211" s="244"/>
      <c r="M211" s="244">
        <v>4882.28</v>
      </c>
      <c r="N211" s="244"/>
      <c r="O211" s="244"/>
      <c r="P211" s="245"/>
    </row>
    <row r="212" spans="2:16" hidden="1">
      <c r="B212" s="238" t="s">
        <v>107</v>
      </c>
      <c r="C212" s="238" t="s">
        <v>80</v>
      </c>
      <c r="D212" s="238" t="s">
        <v>364</v>
      </c>
      <c r="E212" s="238" t="s">
        <v>365</v>
      </c>
      <c r="F212" s="243" t="str">
        <f t="shared" si="18"/>
        <v>2010-11 - Industrial washwater</v>
      </c>
      <c r="G212" s="244" t="s">
        <v>218</v>
      </c>
      <c r="H212" s="244"/>
      <c r="I212" s="244"/>
      <c r="J212" s="244"/>
      <c r="K212" s="244"/>
      <c r="L212" s="244"/>
      <c r="M212" s="244"/>
      <c r="N212" s="244"/>
      <c r="O212" s="244"/>
      <c r="P212" s="245"/>
    </row>
    <row r="213" spans="2:16" hidden="1">
      <c r="B213" s="238" t="s">
        <v>107</v>
      </c>
      <c r="C213" s="238" t="s">
        <v>80</v>
      </c>
      <c r="D213" s="238" t="s">
        <v>235</v>
      </c>
      <c r="E213" s="238" t="s">
        <v>366</v>
      </c>
      <c r="F213" s="243" t="str">
        <f t="shared" si="18"/>
        <v>2010-11 - Organic chemicals</v>
      </c>
      <c r="G213" s="244" t="s">
        <v>218</v>
      </c>
      <c r="H213" s="244">
        <v>6.75</v>
      </c>
      <c r="I213" s="244">
        <v>971.01</v>
      </c>
      <c r="J213" s="244">
        <v>16</v>
      </c>
      <c r="K213" s="244">
        <v>84.46</v>
      </c>
      <c r="L213" s="244">
        <v>27.3</v>
      </c>
      <c r="M213" s="244">
        <v>172.68</v>
      </c>
      <c r="N213" s="244"/>
      <c r="O213" s="244"/>
      <c r="P213" s="245"/>
    </row>
    <row r="214" spans="2:16" hidden="1">
      <c r="B214" s="238" t="s">
        <v>107</v>
      </c>
      <c r="C214" s="238" t="s">
        <v>80</v>
      </c>
      <c r="D214" s="238" t="s">
        <v>367</v>
      </c>
      <c r="E214" s="238" t="s">
        <v>368</v>
      </c>
      <c r="F214" s="243" t="str">
        <f t="shared" si="18"/>
        <v>2010-11 - Soil/sludge</v>
      </c>
      <c r="G214" s="244" t="s">
        <v>218</v>
      </c>
      <c r="H214" s="244">
        <v>415.1</v>
      </c>
      <c r="I214" s="244">
        <v>136.80000000000001</v>
      </c>
      <c r="J214" s="244"/>
      <c r="K214" s="244"/>
      <c r="L214" s="244">
        <v>371.17</v>
      </c>
      <c r="M214" s="244">
        <v>1071.49</v>
      </c>
      <c r="N214" s="244"/>
      <c r="O214" s="244"/>
      <c r="P214" s="245"/>
    </row>
    <row r="215" spans="2:16" hidden="1">
      <c r="B215" s="238" t="s">
        <v>107</v>
      </c>
      <c r="C215" s="238" t="s">
        <v>80</v>
      </c>
      <c r="D215" s="238" t="s">
        <v>216</v>
      </c>
      <c r="E215" s="238" t="s">
        <v>369</v>
      </c>
      <c r="F215" s="243" t="str">
        <f t="shared" si="18"/>
        <v>2010-11 - Clinical &amp; pharmaceutical</v>
      </c>
      <c r="G215" s="244" t="s">
        <v>218</v>
      </c>
      <c r="H215" s="244">
        <v>1.69</v>
      </c>
      <c r="I215" s="244">
        <v>38.9</v>
      </c>
      <c r="J215" s="244"/>
      <c r="K215" s="244"/>
      <c r="L215" s="244"/>
      <c r="M215" s="244">
        <v>143</v>
      </c>
      <c r="N215" s="244"/>
      <c r="O215" s="244"/>
      <c r="P215" s="245"/>
    </row>
    <row r="216" spans="2:16" hidden="1">
      <c r="B216" s="238" t="s">
        <v>107</v>
      </c>
      <c r="C216" s="238" t="s">
        <v>80</v>
      </c>
      <c r="D216" s="238" t="s">
        <v>370</v>
      </c>
      <c r="E216" s="238" t="s">
        <v>371</v>
      </c>
      <c r="F216" s="243" t="str">
        <f t="shared" si="18"/>
        <v>2010-11 - Misc.</v>
      </c>
      <c r="G216" s="244" t="s">
        <v>218</v>
      </c>
      <c r="H216" s="244"/>
      <c r="I216" s="244">
        <v>1.81</v>
      </c>
      <c r="J216" s="244">
        <v>1.44</v>
      </c>
      <c r="K216" s="244"/>
      <c r="L216" s="244"/>
      <c r="M216" s="244">
        <v>90.02</v>
      </c>
      <c r="N216" s="244"/>
      <c r="O216" s="244"/>
      <c r="P216" s="245"/>
    </row>
    <row r="217" spans="2:16" hidden="1">
      <c r="B217" s="238" t="s">
        <v>107</v>
      </c>
      <c r="C217" s="238" t="s">
        <v>81</v>
      </c>
      <c r="D217" s="238" t="s">
        <v>157</v>
      </c>
      <c r="E217" s="238" t="s">
        <v>352</v>
      </c>
      <c r="F217" s="243" t="str">
        <f t="shared" si="18"/>
        <v>2009-10 - Plating &amp; heat treatment</v>
      </c>
      <c r="G217" s="244" t="s">
        <v>218</v>
      </c>
      <c r="H217" s="244"/>
      <c r="I217" s="244">
        <v>8.15</v>
      </c>
      <c r="J217" s="244"/>
      <c r="K217" s="244"/>
      <c r="L217" s="244"/>
      <c r="M217" s="244"/>
      <c r="N217" s="244"/>
      <c r="O217" s="244"/>
      <c r="P217" s="245"/>
    </row>
    <row r="218" spans="2:16" hidden="1">
      <c r="B218" s="238" t="s">
        <v>107</v>
      </c>
      <c r="C218" s="238" t="s">
        <v>81</v>
      </c>
      <c r="D218" s="238" t="s">
        <v>186</v>
      </c>
      <c r="E218" s="238" t="s">
        <v>353</v>
      </c>
      <c r="F218" s="243" t="str">
        <f t="shared" si="18"/>
        <v>2009-10 - Acids</v>
      </c>
      <c r="G218" s="244" t="s">
        <v>218</v>
      </c>
      <c r="H218" s="244">
        <v>9766.94</v>
      </c>
      <c r="I218" s="244">
        <v>85.19</v>
      </c>
      <c r="J218" s="244">
        <v>0.39</v>
      </c>
      <c r="K218" s="244"/>
      <c r="L218" s="244"/>
      <c r="M218" s="244">
        <v>0.83</v>
      </c>
      <c r="N218" s="244"/>
      <c r="O218" s="244"/>
      <c r="P218" s="245"/>
    </row>
    <row r="219" spans="2:16" hidden="1">
      <c r="B219" s="238" t="s">
        <v>107</v>
      </c>
      <c r="C219" s="238" t="s">
        <v>81</v>
      </c>
      <c r="D219" s="238" t="s">
        <v>247</v>
      </c>
      <c r="E219" s="238" t="s">
        <v>354</v>
      </c>
      <c r="F219" s="243" t="str">
        <f t="shared" si="18"/>
        <v>2009-10 - Alkalis</v>
      </c>
      <c r="G219" s="244" t="s">
        <v>218</v>
      </c>
      <c r="H219" s="244">
        <v>602.76</v>
      </c>
      <c r="I219" s="244"/>
      <c r="J219" s="244"/>
      <c r="K219" s="244"/>
      <c r="L219" s="244"/>
      <c r="M219" s="244">
        <v>4.41</v>
      </c>
      <c r="N219" s="244"/>
      <c r="O219" s="244"/>
      <c r="P219" s="245"/>
    </row>
    <row r="220" spans="2:16">
      <c r="B220" s="238" t="s">
        <v>107</v>
      </c>
      <c r="C220" s="238" t="s">
        <v>81</v>
      </c>
      <c r="D220" s="238" t="s">
        <v>159</v>
      </c>
      <c r="E220" s="238" t="s">
        <v>355</v>
      </c>
      <c r="F220" s="243" t="str">
        <f t="shared" si="18"/>
        <v>2009-10 - Inorganic chemicals</v>
      </c>
      <c r="G220" s="244" t="s">
        <v>218</v>
      </c>
      <c r="H220" s="244">
        <v>15530.28</v>
      </c>
      <c r="I220" s="244">
        <v>18326.810000000001</v>
      </c>
      <c r="J220" s="244">
        <v>1732.25</v>
      </c>
      <c r="K220" s="244">
        <v>1141.5899999999999</v>
      </c>
      <c r="L220" s="244">
        <v>3983.2</v>
      </c>
      <c r="M220" s="244">
        <v>100.92</v>
      </c>
      <c r="N220" s="244">
        <v>24.69</v>
      </c>
      <c r="O220" s="244"/>
      <c r="P220" s="245"/>
    </row>
    <row r="221" spans="2:16" hidden="1">
      <c r="B221" s="238" t="s">
        <v>107</v>
      </c>
      <c r="C221" s="238" t="s">
        <v>81</v>
      </c>
      <c r="D221" s="238" t="s">
        <v>356</v>
      </c>
      <c r="E221" s="238" t="s">
        <v>357</v>
      </c>
      <c r="F221" s="243" t="str">
        <f t="shared" si="18"/>
        <v>2009-10 - Reactive chemicals</v>
      </c>
      <c r="G221" s="244" t="s">
        <v>218</v>
      </c>
      <c r="H221" s="244"/>
      <c r="I221" s="244"/>
      <c r="J221" s="244"/>
      <c r="K221" s="244"/>
      <c r="L221" s="244"/>
      <c r="M221" s="244">
        <v>0.02</v>
      </c>
      <c r="N221" s="244"/>
      <c r="O221" s="244"/>
      <c r="P221" s="245"/>
    </row>
    <row r="222" spans="2:16" hidden="1">
      <c r="B222" s="238" t="s">
        <v>107</v>
      </c>
      <c r="C222" s="238" t="s">
        <v>81</v>
      </c>
      <c r="D222" s="238" t="s">
        <v>161</v>
      </c>
      <c r="E222" s="238" t="s">
        <v>358</v>
      </c>
      <c r="F222" s="243" t="str">
        <f t="shared" si="18"/>
        <v>2009-10 - Paints, resins, inks organic sludges</v>
      </c>
      <c r="G222" s="244" t="s">
        <v>218</v>
      </c>
      <c r="H222" s="244">
        <v>116.19</v>
      </c>
      <c r="I222" s="244">
        <v>435.86</v>
      </c>
      <c r="J222" s="244"/>
      <c r="K222" s="244">
        <v>14.64</v>
      </c>
      <c r="L222" s="244"/>
      <c r="M222" s="244">
        <v>69.55</v>
      </c>
      <c r="N222" s="244"/>
      <c r="O222" s="244"/>
      <c r="P222" s="245"/>
    </row>
    <row r="223" spans="2:16" hidden="1">
      <c r="B223" s="238" t="s">
        <v>107</v>
      </c>
      <c r="C223" s="238" t="s">
        <v>81</v>
      </c>
      <c r="D223" s="238" t="s">
        <v>219</v>
      </c>
      <c r="E223" s="238" t="s">
        <v>359</v>
      </c>
      <c r="F223" s="243" t="str">
        <f t="shared" si="18"/>
        <v>2009-10 - Organic solvents</v>
      </c>
      <c r="G223" s="244" t="s">
        <v>218</v>
      </c>
      <c r="H223" s="244">
        <v>355.92</v>
      </c>
      <c r="I223" s="244">
        <v>43.83</v>
      </c>
      <c r="J223" s="244">
        <v>4.7300000000000004</v>
      </c>
      <c r="K223" s="244">
        <v>148.16</v>
      </c>
      <c r="L223" s="244"/>
      <c r="M223" s="244">
        <v>33.33</v>
      </c>
      <c r="N223" s="244"/>
      <c r="O223" s="244"/>
      <c r="P223" s="245"/>
    </row>
    <row r="224" spans="2:16" hidden="1">
      <c r="B224" s="238" t="s">
        <v>107</v>
      </c>
      <c r="C224" s="238" t="s">
        <v>81</v>
      </c>
      <c r="D224" s="238" t="s">
        <v>228</v>
      </c>
      <c r="E224" s="238" t="s">
        <v>360</v>
      </c>
      <c r="F224" s="243" t="str">
        <f t="shared" si="18"/>
        <v>2009-10 - Pesticides</v>
      </c>
      <c r="G224" s="244" t="s">
        <v>218</v>
      </c>
      <c r="H224" s="244"/>
      <c r="I224" s="244">
        <v>0.31</v>
      </c>
      <c r="J224" s="244">
        <v>6.65</v>
      </c>
      <c r="K224" s="244"/>
      <c r="L224" s="244"/>
      <c r="M224" s="244">
        <v>0.18</v>
      </c>
      <c r="N224" s="244"/>
      <c r="O224" s="244"/>
      <c r="P224" s="245"/>
    </row>
    <row r="225" spans="2:16" hidden="1">
      <c r="B225" s="238" t="s">
        <v>107</v>
      </c>
      <c r="C225" s="238" t="s">
        <v>81</v>
      </c>
      <c r="D225" s="238" t="s">
        <v>231</v>
      </c>
      <c r="E225" s="238" t="s">
        <v>361</v>
      </c>
      <c r="F225" s="243" t="str">
        <f t="shared" si="18"/>
        <v>2009-10 - Oils</v>
      </c>
      <c r="G225" s="244" t="s">
        <v>218</v>
      </c>
      <c r="H225" s="244">
        <v>2016.79</v>
      </c>
      <c r="I225" s="244">
        <v>2977.83</v>
      </c>
      <c r="J225" s="244">
        <v>325.02999999999997</v>
      </c>
      <c r="K225" s="244">
        <v>0.5</v>
      </c>
      <c r="L225" s="244">
        <v>14.38</v>
      </c>
      <c r="M225" s="244">
        <v>1291.22</v>
      </c>
      <c r="N225" s="244"/>
      <c r="O225" s="244"/>
      <c r="P225" s="245"/>
    </row>
    <row r="226" spans="2:16" hidden="1">
      <c r="B226" s="238" t="s">
        <v>107</v>
      </c>
      <c r="C226" s="238" t="s">
        <v>81</v>
      </c>
      <c r="D226" s="238" t="s">
        <v>362</v>
      </c>
      <c r="E226" s="238" t="s">
        <v>363</v>
      </c>
      <c r="F226" s="243" t="str">
        <f t="shared" si="18"/>
        <v>2009-10 - Putrescible/organic waste</v>
      </c>
      <c r="G226" s="244" t="s">
        <v>218</v>
      </c>
      <c r="H226" s="244">
        <v>4104.88</v>
      </c>
      <c r="I226" s="244"/>
      <c r="J226" s="244"/>
      <c r="K226" s="244"/>
      <c r="L226" s="244"/>
      <c r="M226" s="244">
        <v>4999.95</v>
      </c>
      <c r="N226" s="244"/>
      <c r="O226" s="244"/>
      <c r="P226" s="245"/>
    </row>
    <row r="227" spans="2:16" hidden="1">
      <c r="B227" s="238" t="s">
        <v>107</v>
      </c>
      <c r="C227" s="238" t="s">
        <v>81</v>
      </c>
      <c r="D227" s="238" t="s">
        <v>364</v>
      </c>
      <c r="E227" s="238" t="s">
        <v>365</v>
      </c>
      <c r="F227" s="243" t="str">
        <f t="shared" si="18"/>
        <v>2009-10 - Industrial washwater</v>
      </c>
      <c r="G227" s="244" t="s">
        <v>218</v>
      </c>
      <c r="H227" s="244"/>
      <c r="I227" s="244"/>
      <c r="J227" s="244"/>
      <c r="K227" s="244"/>
      <c r="L227" s="244"/>
      <c r="M227" s="244"/>
      <c r="N227" s="244"/>
      <c r="O227" s="244"/>
      <c r="P227" s="245"/>
    </row>
    <row r="228" spans="2:16" hidden="1">
      <c r="B228" s="238" t="s">
        <v>107</v>
      </c>
      <c r="C228" s="238" t="s">
        <v>81</v>
      </c>
      <c r="D228" s="238" t="s">
        <v>235</v>
      </c>
      <c r="E228" s="238" t="s">
        <v>366</v>
      </c>
      <c r="F228" s="243" t="str">
        <f t="shared" si="18"/>
        <v>2009-10 - Organic chemicals</v>
      </c>
      <c r="G228" s="244" t="s">
        <v>218</v>
      </c>
      <c r="H228" s="244">
        <v>52.58</v>
      </c>
      <c r="I228" s="244">
        <v>1532.65</v>
      </c>
      <c r="J228" s="244">
        <v>5.84</v>
      </c>
      <c r="K228" s="244">
        <v>167.18</v>
      </c>
      <c r="L228" s="244"/>
      <c r="M228" s="244">
        <v>55.99</v>
      </c>
      <c r="N228" s="244"/>
      <c r="O228" s="244"/>
      <c r="P228" s="245"/>
    </row>
    <row r="229" spans="2:16" hidden="1">
      <c r="B229" s="238" t="s">
        <v>107</v>
      </c>
      <c r="C229" s="238" t="s">
        <v>81</v>
      </c>
      <c r="D229" s="238" t="s">
        <v>367</v>
      </c>
      <c r="E229" s="238" t="s">
        <v>368</v>
      </c>
      <c r="F229" s="243" t="str">
        <f t="shared" si="18"/>
        <v>2009-10 - Soil/sludge</v>
      </c>
      <c r="G229" s="244" t="s">
        <v>218</v>
      </c>
      <c r="H229" s="244">
        <v>584.61</v>
      </c>
      <c r="I229" s="244">
        <v>140.86000000000001</v>
      </c>
      <c r="J229" s="244">
        <v>2.2000000000000002</v>
      </c>
      <c r="K229" s="244">
        <v>18.100000000000001</v>
      </c>
      <c r="L229" s="244"/>
      <c r="M229" s="244">
        <v>24463.96</v>
      </c>
      <c r="N229" s="244"/>
      <c r="O229" s="244"/>
      <c r="P229" s="245"/>
    </row>
    <row r="230" spans="2:16" hidden="1">
      <c r="B230" s="238" t="s">
        <v>107</v>
      </c>
      <c r="C230" s="238" t="s">
        <v>81</v>
      </c>
      <c r="D230" s="238" t="s">
        <v>216</v>
      </c>
      <c r="E230" s="238" t="s">
        <v>369</v>
      </c>
      <c r="F230" s="243" t="str">
        <f t="shared" si="18"/>
        <v>2009-10 - Clinical &amp; pharmaceutical</v>
      </c>
      <c r="G230" s="244" t="s">
        <v>218</v>
      </c>
      <c r="H230" s="244">
        <v>13.87</v>
      </c>
      <c r="I230" s="244">
        <v>256.74</v>
      </c>
      <c r="J230" s="244"/>
      <c r="K230" s="244"/>
      <c r="L230" s="244"/>
      <c r="M230" s="244">
        <v>110.38</v>
      </c>
      <c r="N230" s="244"/>
      <c r="O230" s="244"/>
      <c r="P230" s="245"/>
    </row>
    <row r="231" spans="2:16" hidden="1">
      <c r="B231" s="238" t="s">
        <v>107</v>
      </c>
      <c r="C231" s="238" t="s">
        <v>81</v>
      </c>
      <c r="D231" s="238" t="s">
        <v>370</v>
      </c>
      <c r="E231" s="238" t="s">
        <v>371</v>
      </c>
      <c r="F231" s="243" t="str">
        <f t="shared" si="18"/>
        <v>2009-10 - Misc.</v>
      </c>
      <c r="G231" s="244" t="s">
        <v>218</v>
      </c>
      <c r="H231" s="244">
        <v>0.26</v>
      </c>
      <c r="I231" s="244"/>
      <c r="J231" s="244">
        <v>9.83</v>
      </c>
      <c r="K231" s="244"/>
      <c r="L231" s="244"/>
      <c r="M231" s="244">
        <v>1620.84</v>
      </c>
      <c r="N231" s="244"/>
      <c r="O231" s="244"/>
      <c r="P231" s="245"/>
    </row>
    <row r="232" spans="2:16" hidden="1">
      <c r="B232" s="238" t="s">
        <v>107</v>
      </c>
      <c r="C232" s="238" t="s">
        <v>82</v>
      </c>
      <c r="D232" s="238" t="s">
        <v>157</v>
      </c>
      <c r="E232" s="238" t="s">
        <v>352</v>
      </c>
      <c r="F232" s="243" t="str">
        <f t="shared" si="18"/>
        <v>2008-09 - Plating &amp; heat treatment</v>
      </c>
      <c r="G232" s="244" t="s">
        <v>218</v>
      </c>
      <c r="H232" s="244">
        <v>6.28</v>
      </c>
      <c r="I232" s="244"/>
      <c r="J232" s="244"/>
      <c r="K232" s="244"/>
      <c r="L232" s="244"/>
      <c r="M232" s="244">
        <v>0.42</v>
      </c>
      <c r="N232" s="244"/>
      <c r="O232" s="244"/>
      <c r="P232" s="245"/>
    </row>
    <row r="233" spans="2:16" hidden="1">
      <c r="B233" s="238" t="s">
        <v>107</v>
      </c>
      <c r="C233" s="238" t="s">
        <v>82</v>
      </c>
      <c r="D233" s="238" t="s">
        <v>186</v>
      </c>
      <c r="E233" s="238" t="s">
        <v>353</v>
      </c>
      <c r="F233" s="243" t="str">
        <f t="shared" si="18"/>
        <v>2008-09 - Acids</v>
      </c>
      <c r="G233" s="244" t="s">
        <v>218</v>
      </c>
      <c r="H233" s="244">
        <v>10288.74</v>
      </c>
      <c r="I233" s="244">
        <v>0.62</v>
      </c>
      <c r="J233" s="244"/>
      <c r="K233" s="244"/>
      <c r="L233" s="244"/>
      <c r="M233" s="244">
        <v>4.1900000000000004</v>
      </c>
      <c r="N233" s="244"/>
      <c r="O233" s="244"/>
      <c r="P233" s="245"/>
    </row>
    <row r="234" spans="2:16" hidden="1">
      <c r="B234" s="238" t="s">
        <v>107</v>
      </c>
      <c r="C234" s="238" t="s">
        <v>82</v>
      </c>
      <c r="D234" s="238" t="s">
        <v>247</v>
      </c>
      <c r="E234" s="238" t="s">
        <v>354</v>
      </c>
      <c r="F234" s="243" t="str">
        <f t="shared" si="18"/>
        <v>2008-09 - Alkalis</v>
      </c>
      <c r="G234" s="244" t="s">
        <v>218</v>
      </c>
      <c r="H234" s="244">
        <v>675.41</v>
      </c>
      <c r="I234" s="244">
        <v>1.8</v>
      </c>
      <c r="J234" s="244"/>
      <c r="K234" s="244"/>
      <c r="L234" s="244"/>
      <c r="M234" s="244">
        <v>4.3499999999999996</v>
      </c>
      <c r="N234" s="244"/>
      <c r="O234" s="244"/>
      <c r="P234" s="245"/>
    </row>
    <row r="235" spans="2:16">
      <c r="B235" s="238" t="s">
        <v>107</v>
      </c>
      <c r="C235" s="238" t="s">
        <v>82</v>
      </c>
      <c r="D235" s="238" t="s">
        <v>159</v>
      </c>
      <c r="E235" s="238" t="s">
        <v>355</v>
      </c>
      <c r="F235" s="243" t="str">
        <f t="shared" si="18"/>
        <v>2008-09 - Inorganic chemicals</v>
      </c>
      <c r="G235" s="244" t="s">
        <v>218</v>
      </c>
      <c r="H235" s="244">
        <v>21780.05</v>
      </c>
      <c r="I235" s="244">
        <v>12928.28</v>
      </c>
      <c r="J235" s="244">
        <v>135.62</v>
      </c>
      <c r="K235" s="244">
        <v>985.79</v>
      </c>
      <c r="L235" s="244">
        <v>3165.02</v>
      </c>
      <c r="M235" s="244">
        <v>139.16</v>
      </c>
      <c r="N235" s="244">
        <v>48.14</v>
      </c>
      <c r="O235" s="244"/>
      <c r="P235" s="245"/>
    </row>
    <row r="236" spans="2:16" hidden="1">
      <c r="B236" s="238" t="s">
        <v>107</v>
      </c>
      <c r="C236" s="238" t="s">
        <v>82</v>
      </c>
      <c r="D236" s="238" t="s">
        <v>356</v>
      </c>
      <c r="E236" s="238" t="s">
        <v>357</v>
      </c>
      <c r="F236" s="243" t="str">
        <f t="shared" ref="F236:F299" si="19">CONCATENATE(C236," - ",E236)</f>
        <v>2008-09 - Reactive chemicals</v>
      </c>
      <c r="G236" s="244" t="s">
        <v>218</v>
      </c>
      <c r="H236" s="244"/>
      <c r="I236" s="244"/>
      <c r="J236" s="244"/>
      <c r="K236" s="244"/>
      <c r="L236" s="244"/>
      <c r="M236" s="244">
        <v>0.56000000000000005</v>
      </c>
      <c r="N236" s="244"/>
      <c r="O236" s="244"/>
      <c r="P236" s="245"/>
    </row>
    <row r="237" spans="2:16" hidden="1">
      <c r="B237" s="238" t="s">
        <v>107</v>
      </c>
      <c r="C237" s="238" t="s">
        <v>82</v>
      </c>
      <c r="D237" s="238" t="s">
        <v>161</v>
      </c>
      <c r="E237" s="238" t="s">
        <v>358</v>
      </c>
      <c r="F237" s="243" t="str">
        <f t="shared" si="19"/>
        <v>2008-09 - Paints, resins, inks organic sludges</v>
      </c>
      <c r="G237" s="244" t="s">
        <v>218</v>
      </c>
      <c r="H237" s="244">
        <v>1428.38</v>
      </c>
      <c r="I237" s="244">
        <v>673.48</v>
      </c>
      <c r="J237" s="244"/>
      <c r="K237" s="244"/>
      <c r="L237" s="244"/>
      <c r="M237" s="244">
        <v>49.3</v>
      </c>
      <c r="N237" s="244"/>
      <c r="O237" s="244"/>
      <c r="P237" s="245"/>
    </row>
    <row r="238" spans="2:16" hidden="1">
      <c r="B238" s="238" t="s">
        <v>107</v>
      </c>
      <c r="C238" s="238" t="s">
        <v>82</v>
      </c>
      <c r="D238" s="238" t="s">
        <v>219</v>
      </c>
      <c r="E238" s="238" t="s">
        <v>359</v>
      </c>
      <c r="F238" s="243" t="str">
        <f t="shared" si="19"/>
        <v>2008-09 - Organic solvents</v>
      </c>
      <c r="G238" s="244" t="s">
        <v>218</v>
      </c>
      <c r="H238" s="244">
        <v>472.74</v>
      </c>
      <c r="I238" s="244">
        <v>622.87</v>
      </c>
      <c r="J238" s="244">
        <v>6.95</v>
      </c>
      <c r="K238" s="244">
        <v>222.1</v>
      </c>
      <c r="L238" s="244"/>
      <c r="M238" s="244">
        <v>27.18</v>
      </c>
      <c r="N238" s="244"/>
      <c r="O238" s="244"/>
      <c r="P238" s="245"/>
    </row>
    <row r="239" spans="2:16" hidden="1">
      <c r="B239" s="238" t="s">
        <v>107</v>
      </c>
      <c r="C239" s="238" t="s">
        <v>82</v>
      </c>
      <c r="D239" s="238" t="s">
        <v>228</v>
      </c>
      <c r="E239" s="238" t="s">
        <v>360</v>
      </c>
      <c r="F239" s="243" t="str">
        <f t="shared" si="19"/>
        <v>2008-09 - Pesticides</v>
      </c>
      <c r="G239" s="244" t="s">
        <v>218</v>
      </c>
      <c r="H239" s="244"/>
      <c r="I239" s="244">
        <v>143.16999999999999</v>
      </c>
      <c r="J239" s="244"/>
      <c r="K239" s="244"/>
      <c r="L239" s="244"/>
      <c r="M239" s="244">
        <v>0.18</v>
      </c>
      <c r="N239" s="244"/>
      <c r="O239" s="244"/>
      <c r="P239" s="245"/>
    </row>
    <row r="240" spans="2:16" hidden="1">
      <c r="B240" s="238" t="s">
        <v>107</v>
      </c>
      <c r="C240" s="238" t="s">
        <v>82</v>
      </c>
      <c r="D240" s="238" t="s">
        <v>231</v>
      </c>
      <c r="E240" s="238" t="s">
        <v>361</v>
      </c>
      <c r="F240" s="243" t="str">
        <f t="shared" si="19"/>
        <v>2008-09 - Oils</v>
      </c>
      <c r="G240" s="244" t="s">
        <v>218</v>
      </c>
      <c r="H240" s="244">
        <v>2234.46</v>
      </c>
      <c r="I240" s="244">
        <v>500.69</v>
      </c>
      <c r="J240" s="244">
        <v>39.6</v>
      </c>
      <c r="K240" s="244"/>
      <c r="L240" s="244"/>
      <c r="M240" s="244">
        <v>1528.36</v>
      </c>
      <c r="N240" s="244"/>
      <c r="O240" s="244"/>
      <c r="P240" s="245"/>
    </row>
    <row r="241" spans="2:16" hidden="1">
      <c r="B241" s="238" t="s">
        <v>107</v>
      </c>
      <c r="C241" s="238" t="s">
        <v>82</v>
      </c>
      <c r="D241" s="238" t="s">
        <v>362</v>
      </c>
      <c r="E241" s="238" t="s">
        <v>363</v>
      </c>
      <c r="F241" s="243" t="str">
        <f t="shared" si="19"/>
        <v>2008-09 - Putrescible/organic waste</v>
      </c>
      <c r="G241" s="244" t="s">
        <v>218</v>
      </c>
      <c r="H241" s="244">
        <v>3622.28</v>
      </c>
      <c r="I241" s="244">
        <v>1621.23</v>
      </c>
      <c r="J241" s="244"/>
      <c r="K241" s="244"/>
      <c r="L241" s="244"/>
      <c r="M241" s="244">
        <v>4614.79</v>
      </c>
      <c r="N241" s="244"/>
      <c r="O241" s="244"/>
      <c r="P241" s="245"/>
    </row>
    <row r="242" spans="2:16" hidden="1">
      <c r="B242" s="238" t="s">
        <v>107</v>
      </c>
      <c r="C242" s="238" t="s">
        <v>82</v>
      </c>
      <c r="D242" s="238" t="s">
        <v>364</v>
      </c>
      <c r="E242" s="238" t="s">
        <v>365</v>
      </c>
      <c r="F242" s="243" t="str">
        <f t="shared" si="19"/>
        <v>2008-09 - Industrial washwater</v>
      </c>
      <c r="G242" s="244" t="s">
        <v>218</v>
      </c>
      <c r="H242" s="244"/>
      <c r="I242" s="244"/>
      <c r="J242" s="244"/>
      <c r="K242" s="244"/>
      <c r="L242" s="244"/>
      <c r="M242" s="244"/>
      <c r="N242" s="244"/>
      <c r="O242" s="244"/>
      <c r="P242" s="245"/>
    </row>
    <row r="243" spans="2:16" hidden="1">
      <c r="B243" s="238" t="s">
        <v>107</v>
      </c>
      <c r="C243" s="238" t="s">
        <v>82</v>
      </c>
      <c r="D243" s="238" t="s">
        <v>235</v>
      </c>
      <c r="E243" s="238" t="s">
        <v>366</v>
      </c>
      <c r="F243" s="243" t="str">
        <f t="shared" si="19"/>
        <v>2008-09 - Organic chemicals</v>
      </c>
      <c r="G243" s="244" t="s">
        <v>218</v>
      </c>
      <c r="H243" s="244">
        <v>75.02</v>
      </c>
      <c r="I243" s="244">
        <v>1449.09</v>
      </c>
      <c r="J243" s="244"/>
      <c r="K243" s="244">
        <v>146.80000000000001</v>
      </c>
      <c r="L243" s="244">
        <v>39</v>
      </c>
      <c r="M243" s="244">
        <v>570</v>
      </c>
      <c r="N243" s="244"/>
      <c r="O243" s="244"/>
      <c r="P243" s="245"/>
    </row>
    <row r="244" spans="2:16" hidden="1">
      <c r="B244" s="238" t="s">
        <v>107</v>
      </c>
      <c r="C244" s="238" t="s">
        <v>82</v>
      </c>
      <c r="D244" s="238" t="s">
        <v>367</v>
      </c>
      <c r="E244" s="238" t="s">
        <v>368</v>
      </c>
      <c r="F244" s="243" t="str">
        <f t="shared" si="19"/>
        <v>2008-09 - Soil/sludge</v>
      </c>
      <c r="G244" s="244" t="s">
        <v>218</v>
      </c>
      <c r="H244" s="244">
        <v>806.32</v>
      </c>
      <c r="I244" s="244">
        <v>82.22</v>
      </c>
      <c r="J244" s="244"/>
      <c r="K244" s="244"/>
      <c r="L244" s="244"/>
      <c r="M244" s="244">
        <v>5057</v>
      </c>
      <c r="N244" s="244"/>
      <c r="O244" s="244"/>
      <c r="P244" s="245"/>
    </row>
    <row r="245" spans="2:16" hidden="1">
      <c r="B245" s="238" t="s">
        <v>107</v>
      </c>
      <c r="C245" s="238" t="s">
        <v>82</v>
      </c>
      <c r="D245" s="238" t="s">
        <v>216</v>
      </c>
      <c r="E245" s="238" t="s">
        <v>369</v>
      </c>
      <c r="F245" s="243" t="str">
        <f t="shared" si="19"/>
        <v>2008-09 - Clinical &amp; pharmaceutical</v>
      </c>
      <c r="G245" s="244" t="s">
        <v>218</v>
      </c>
      <c r="H245" s="244">
        <v>0.01</v>
      </c>
      <c r="I245" s="244">
        <v>147.72999999999999</v>
      </c>
      <c r="J245" s="244"/>
      <c r="K245" s="244"/>
      <c r="L245" s="244"/>
      <c r="M245" s="244">
        <v>115.2</v>
      </c>
      <c r="N245" s="244"/>
      <c r="O245" s="244"/>
      <c r="P245" s="245"/>
    </row>
    <row r="246" spans="2:16" hidden="1">
      <c r="B246" s="238" t="s">
        <v>107</v>
      </c>
      <c r="C246" s="238" t="s">
        <v>82</v>
      </c>
      <c r="D246" s="238" t="s">
        <v>370</v>
      </c>
      <c r="E246" s="238" t="s">
        <v>371</v>
      </c>
      <c r="F246" s="243" t="str">
        <f t="shared" si="19"/>
        <v>2008-09 - Misc.</v>
      </c>
      <c r="G246" s="244" t="s">
        <v>218</v>
      </c>
      <c r="H246" s="244"/>
      <c r="I246" s="244">
        <v>0.03</v>
      </c>
      <c r="J246" s="244">
        <v>1.21</v>
      </c>
      <c r="K246" s="244"/>
      <c r="L246" s="244"/>
      <c r="M246" s="244">
        <v>255.7</v>
      </c>
      <c r="N246" s="244"/>
      <c r="O246" s="244"/>
      <c r="P246" s="245"/>
    </row>
    <row r="247" spans="2:16" hidden="1">
      <c r="B247" s="238" t="s">
        <v>107</v>
      </c>
      <c r="C247" s="238" t="s">
        <v>83</v>
      </c>
      <c r="D247" s="238" t="s">
        <v>157</v>
      </c>
      <c r="E247" s="238" t="s">
        <v>352</v>
      </c>
      <c r="F247" s="243" t="str">
        <f t="shared" si="19"/>
        <v>2007-08 - Plating &amp; heat treatment</v>
      </c>
      <c r="G247" s="244" t="s">
        <v>218</v>
      </c>
      <c r="H247" s="244"/>
      <c r="I247" s="244">
        <v>21.48</v>
      </c>
      <c r="J247" s="244"/>
      <c r="K247" s="244"/>
      <c r="L247" s="244"/>
      <c r="M247" s="244"/>
      <c r="N247" s="244"/>
      <c r="O247" s="244"/>
      <c r="P247" s="245"/>
    </row>
    <row r="248" spans="2:16" hidden="1">
      <c r="B248" s="238" t="s">
        <v>107</v>
      </c>
      <c r="C248" s="238" t="s">
        <v>83</v>
      </c>
      <c r="D248" s="238" t="s">
        <v>186</v>
      </c>
      <c r="E248" s="238" t="s">
        <v>353</v>
      </c>
      <c r="F248" s="243" t="str">
        <f t="shared" si="19"/>
        <v>2007-08 - Acids</v>
      </c>
      <c r="G248" s="244" t="s">
        <v>218</v>
      </c>
      <c r="H248" s="244">
        <v>11317.44</v>
      </c>
      <c r="I248" s="244">
        <v>4.47</v>
      </c>
      <c r="J248" s="244"/>
      <c r="K248" s="244"/>
      <c r="L248" s="244"/>
      <c r="M248" s="244">
        <v>5.83</v>
      </c>
      <c r="N248" s="244"/>
      <c r="O248" s="244"/>
      <c r="P248" s="245"/>
    </row>
    <row r="249" spans="2:16" hidden="1">
      <c r="B249" s="238" t="s">
        <v>107</v>
      </c>
      <c r="C249" s="238" t="s">
        <v>83</v>
      </c>
      <c r="D249" s="238" t="s">
        <v>247</v>
      </c>
      <c r="E249" s="238" t="s">
        <v>354</v>
      </c>
      <c r="F249" s="243" t="str">
        <f t="shared" si="19"/>
        <v>2007-08 - Alkalis</v>
      </c>
      <c r="G249" s="244" t="s">
        <v>218</v>
      </c>
      <c r="H249" s="244"/>
      <c r="I249" s="244">
        <v>22.48</v>
      </c>
      <c r="J249" s="244"/>
      <c r="K249" s="244"/>
      <c r="L249" s="244"/>
      <c r="M249" s="244">
        <v>50.28</v>
      </c>
      <c r="N249" s="244"/>
      <c r="O249" s="244"/>
      <c r="P249" s="245"/>
    </row>
    <row r="250" spans="2:16">
      <c r="B250" s="238" t="s">
        <v>107</v>
      </c>
      <c r="C250" s="238" t="s">
        <v>83</v>
      </c>
      <c r="D250" s="238" t="s">
        <v>159</v>
      </c>
      <c r="E250" s="238" t="s">
        <v>355</v>
      </c>
      <c r="F250" s="243" t="str">
        <f t="shared" si="19"/>
        <v>2007-08 - Inorganic chemicals</v>
      </c>
      <c r="G250" s="244" t="s">
        <v>218</v>
      </c>
      <c r="H250" s="244">
        <v>29578.46</v>
      </c>
      <c r="I250" s="244">
        <v>17783.650000000001</v>
      </c>
      <c r="J250" s="244">
        <v>1010.62</v>
      </c>
      <c r="K250" s="244">
        <v>79.569999999999993</v>
      </c>
      <c r="L250" s="244">
        <v>4481.92</v>
      </c>
      <c r="M250" s="244">
        <v>174.42</v>
      </c>
      <c r="N250" s="244">
        <v>85.42</v>
      </c>
      <c r="O250" s="244"/>
      <c r="P250" s="245"/>
    </row>
    <row r="251" spans="2:16" hidden="1">
      <c r="B251" s="238" t="s">
        <v>107</v>
      </c>
      <c r="C251" s="238" t="s">
        <v>83</v>
      </c>
      <c r="D251" s="238" t="s">
        <v>356</v>
      </c>
      <c r="E251" s="238" t="s">
        <v>357</v>
      </c>
      <c r="F251" s="243" t="str">
        <f t="shared" si="19"/>
        <v>2007-08 - Reactive chemicals</v>
      </c>
      <c r="G251" s="244" t="s">
        <v>218</v>
      </c>
      <c r="H251" s="244"/>
      <c r="I251" s="244"/>
      <c r="J251" s="244"/>
      <c r="K251" s="244"/>
      <c r="L251" s="244"/>
      <c r="M251" s="244">
        <v>7.0000000000000007E-2</v>
      </c>
      <c r="N251" s="244"/>
      <c r="O251" s="244"/>
      <c r="P251" s="245"/>
    </row>
    <row r="252" spans="2:16" hidden="1">
      <c r="B252" s="238" t="s">
        <v>107</v>
      </c>
      <c r="C252" s="238" t="s">
        <v>83</v>
      </c>
      <c r="D252" s="238" t="s">
        <v>161</v>
      </c>
      <c r="E252" s="238" t="s">
        <v>358</v>
      </c>
      <c r="F252" s="243" t="str">
        <f t="shared" si="19"/>
        <v>2007-08 - Paints, resins, inks organic sludges</v>
      </c>
      <c r="G252" s="244" t="s">
        <v>218</v>
      </c>
      <c r="H252" s="244">
        <v>2622.45</v>
      </c>
      <c r="I252" s="244">
        <v>938.83</v>
      </c>
      <c r="J252" s="244">
        <v>1.04</v>
      </c>
      <c r="K252" s="244">
        <v>16</v>
      </c>
      <c r="L252" s="244"/>
      <c r="M252" s="244">
        <v>64.41</v>
      </c>
      <c r="N252" s="244"/>
      <c r="O252" s="244"/>
      <c r="P252" s="245"/>
    </row>
    <row r="253" spans="2:16" hidden="1">
      <c r="B253" s="238" t="s">
        <v>107</v>
      </c>
      <c r="C253" s="238" t="s">
        <v>83</v>
      </c>
      <c r="D253" s="238" t="s">
        <v>219</v>
      </c>
      <c r="E253" s="238" t="s">
        <v>359</v>
      </c>
      <c r="F253" s="243" t="str">
        <f t="shared" si="19"/>
        <v>2007-08 - Organic solvents</v>
      </c>
      <c r="G253" s="244" t="s">
        <v>218</v>
      </c>
      <c r="H253" s="244">
        <v>445.08</v>
      </c>
      <c r="I253" s="244">
        <v>275.97000000000003</v>
      </c>
      <c r="J253" s="244">
        <v>185.13</v>
      </c>
      <c r="K253" s="244">
        <v>89.03</v>
      </c>
      <c r="L253" s="244"/>
      <c r="M253" s="244">
        <v>30.18</v>
      </c>
      <c r="N253" s="244"/>
      <c r="O253" s="244"/>
      <c r="P253" s="245"/>
    </row>
    <row r="254" spans="2:16" hidden="1">
      <c r="B254" s="238" t="s">
        <v>107</v>
      </c>
      <c r="C254" s="238" t="s">
        <v>83</v>
      </c>
      <c r="D254" s="238" t="s">
        <v>228</v>
      </c>
      <c r="E254" s="238" t="s">
        <v>360</v>
      </c>
      <c r="F254" s="243" t="str">
        <f t="shared" si="19"/>
        <v>2007-08 - Pesticides</v>
      </c>
      <c r="G254" s="244" t="s">
        <v>218</v>
      </c>
      <c r="H254" s="244"/>
      <c r="I254" s="244">
        <v>564.28</v>
      </c>
      <c r="J254" s="244"/>
      <c r="K254" s="244"/>
      <c r="L254" s="244"/>
      <c r="M254" s="244">
        <v>7.0000000000000007E-2</v>
      </c>
      <c r="N254" s="244"/>
      <c r="O254" s="244"/>
      <c r="P254" s="245"/>
    </row>
    <row r="255" spans="2:16" hidden="1">
      <c r="B255" s="238" t="s">
        <v>107</v>
      </c>
      <c r="C255" s="238" t="s">
        <v>83</v>
      </c>
      <c r="D255" s="238" t="s">
        <v>231</v>
      </c>
      <c r="E255" s="238" t="s">
        <v>361</v>
      </c>
      <c r="F255" s="243" t="str">
        <f t="shared" si="19"/>
        <v>2007-08 - Oils</v>
      </c>
      <c r="G255" s="244" t="s">
        <v>218</v>
      </c>
      <c r="H255" s="244">
        <v>4397.1099999999997</v>
      </c>
      <c r="I255" s="244">
        <v>373.78</v>
      </c>
      <c r="J255" s="244">
        <v>54.54</v>
      </c>
      <c r="K255" s="244"/>
      <c r="L255" s="244">
        <v>26.24</v>
      </c>
      <c r="M255" s="244">
        <v>1574.17</v>
      </c>
      <c r="N255" s="244"/>
      <c r="O255" s="244"/>
      <c r="P255" s="245"/>
    </row>
    <row r="256" spans="2:16" hidden="1">
      <c r="B256" s="238" t="s">
        <v>107</v>
      </c>
      <c r="C256" s="238" t="s">
        <v>83</v>
      </c>
      <c r="D256" s="238" t="s">
        <v>362</v>
      </c>
      <c r="E256" s="238" t="s">
        <v>363</v>
      </c>
      <c r="F256" s="243" t="str">
        <f t="shared" si="19"/>
        <v>2007-08 - Putrescible/organic waste</v>
      </c>
      <c r="G256" s="244" t="s">
        <v>218</v>
      </c>
      <c r="H256" s="244">
        <v>3914.49</v>
      </c>
      <c r="I256" s="244">
        <v>12937.25</v>
      </c>
      <c r="J256" s="244"/>
      <c r="K256" s="244"/>
      <c r="L256" s="244"/>
      <c r="M256" s="244">
        <v>3558.42</v>
      </c>
      <c r="N256" s="244"/>
      <c r="O256" s="244"/>
      <c r="P256" s="245"/>
    </row>
    <row r="257" spans="2:16" hidden="1">
      <c r="B257" s="238" t="s">
        <v>107</v>
      </c>
      <c r="C257" s="238" t="s">
        <v>83</v>
      </c>
      <c r="D257" s="238" t="s">
        <v>364</v>
      </c>
      <c r="E257" s="238" t="s">
        <v>365</v>
      </c>
      <c r="F257" s="243" t="str">
        <f t="shared" si="19"/>
        <v>2007-08 - Industrial washwater</v>
      </c>
      <c r="G257" s="244" t="s">
        <v>218</v>
      </c>
      <c r="H257" s="244"/>
      <c r="I257" s="244"/>
      <c r="J257" s="244"/>
      <c r="K257" s="244"/>
      <c r="L257" s="244"/>
      <c r="M257" s="244"/>
      <c r="N257" s="244"/>
      <c r="O257" s="244"/>
      <c r="P257" s="245"/>
    </row>
    <row r="258" spans="2:16" hidden="1">
      <c r="B258" s="238" t="s">
        <v>107</v>
      </c>
      <c r="C258" s="238" t="s">
        <v>83</v>
      </c>
      <c r="D258" s="238" t="s">
        <v>235</v>
      </c>
      <c r="E258" s="238" t="s">
        <v>366</v>
      </c>
      <c r="F258" s="243" t="str">
        <f t="shared" si="19"/>
        <v>2007-08 - Organic chemicals</v>
      </c>
      <c r="G258" s="244" t="s">
        <v>218</v>
      </c>
      <c r="H258" s="244">
        <v>166.16</v>
      </c>
      <c r="I258" s="244">
        <v>1107.3900000000001</v>
      </c>
      <c r="J258" s="244">
        <v>43.8</v>
      </c>
      <c r="K258" s="244">
        <v>24.21</v>
      </c>
      <c r="L258" s="244">
        <v>7</v>
      </c>
      <c r="M258" s="244">
        <v>129.91</v>
      </c>
      <c r="N258" s="244"/>
      <c r="O258" s="244"/>
      <c r="P258" s="245"/>
    </row>
    <row r="259" spans="2:16" hidden="1">
      <c r="B259" s="238" t="s">
        <v>107</v>
      </c>
      <c r="C259" s="238" t="s">
        <v>83</v>
      </c>
      <c r="D259" s="238" t="s">
        <v>367</v>
      </c>
      <c r="E259" s="238" t="s">
        <v>368</v>
      </c>
      <c r="F259" s="243" t="str">
        <f t="shared" si="19"/>
        <v>2007-08 - Soil/sludge</v>
      </c>
      <c r="G259" s="244" t="s">
        <v>218</v>
      </c>
      <c r="H259" s="244">
        <v>1461.9</v>
      </c>
      <c r="I259" s="244">
        <v>333.92</v>
      </c>
      <c r="J259" s="244"/>
      <c r="K259" s="244"/>
      <c r="L259" s="244">
        <v>19.260000000000002</v>
      </c>
      <c r="M259" s="244">
        <v>2688.07</v>
      </c>
      <c r="N259" s="244"/>
      <c r="O259" s="244"/>
      <c r="P259" s="245"/>
    </row>
    <row r="260" spans="2:16" hidden="1">
      <c r="B260" s="238" t="s">
        <v>107</v>
      </c>
      <c r="C260" s="238" t="s">
        <v>83</v>
      </c>
      <c r="D260" s="238" t="s">
        <v>216</v>
      </c>
      <c r="E260" s="238" t="s">
        <v>369</v>
      </c>
      <c r="F260" s="243" t="str">
        <f t="shared" si="19"/>
        <v>2007-08 - Clinical &amp; pharmaceutical</v>
      </c>
      <c r="G260" s="244" t="s">
        <v>218</v>
      </c>
      <c r="H260" s="244">
        <v>0.2</v>
      </c>
      <c r="I260" s="244">
        <v>33.79</v>
      </c>
      <c r="J260" s="244"/>
      <c r="K260" s="244"/>
      <c r="L260" s="244"/>
      <c r="M260" s="244">
        <v>118.81</v>
      </c>
      <c r="N260" s="244"/>
      <c r="O260" s="244"/>
      <c r="P260" s="245"/>
    </row>
    <row r="261" spans="2:16" hidden="1">
      <c r="B261" s="238" t="s">
        <v>107</v>
      </c>
      <c r="C261" s="238" t="s">
        <v>83</v>
      </c>
      <c r="D261" s="238" t="s">
        <v>370</v>
      </c>
      <c r="E261" s="238" t="s">
        <v>371</v>
      </c>
      <c r="F261" s="243" t="str">
        <f t="shared" si="19"/>
        <v>2007-08 - Misc.</v>
      </c>
      <c r="G261" s="244" t="s">
        <v>218</v>
      </c>
      <c r="H261" s="244">
        <v>27.99</v>
      </c>
      <c r="I261" s="244">
        <v>2</v>
      </c>
      <c r="J261" s="244"/>
      <c r="K261" s="244"/>
      <c r="L261" s="244"/>
      <c r="M261" s="244">
        <v>52.33</v>
      </c>
      <c r="N261" s="244"/>
      <c r="O261" s="244"/>
      <c r="P261" s="245"/>
    </row>
    <row r="262" spans="2:16" hidden="1">
      <c r="B262" s="238" t="s">
        <v>107</v>
      </c>
      <c r="C262" s="238" t="s">
        <v>86</v>
      </c>
      <c r="D262" s="238" t="s">
        <v>157</v>
      </c>
      <c r="E262" s="238" t="s">
        <v>352</v>
      </c>
      <c r="F262" s="243" t="str">
        <f t="shared" si="19"/>
        <v>2006-07 - Plating &amp; heat treatment</v>
      </c>
      <c r="G262" s="244" t="s">
        <v>218</v>
      </c>
      <c r="H262" s="244"/>
      <c r="I262" s="244"/>
      <c r="J262" s="244"/>
      <c r="K262" s="244"/>
      <c r="L262" s="244"/>
      <c r="M262" s="244">
        <v>7.0000000000000007E-2</v>
      </c>
      <c r="N262" s="244"/>
      <c r="O262" s="244"/>
      <c r="P262" s="245"/>
    </row>
    <row r="263" spans="2:16" hidden="1">
      <c r="B263" s="238" t="s">
        <v>107</v>
      </c>
      <c r="C263" s="238" t="s">
        <v>86</v>
      </c>
      <c r="D263" s="238" t="s">
        <v>186</v>
      </c>
      <c r="E263" s="238" t="s">
        <v>353</v>
      </c>
      <c r="F263" s="243" t="str">
        <f t="shared" si="19"/>
        <v>2006-07 - Acids</v>
      </c>
      <c r="G263" s="244" t="s">
        <v>218</v>
      </c>
      <c r="H263" s="244">
        <v>10316.89</v>
      </c>
      <c r="I263" s="244"/>
      <c r="J263" s="244"/>
      <c r="K263" s="244"/>
      <c r="L263" s="244"/>
      <c r="M263" s="244">
        <v>0.89</v>
      </c>
      <c r="N263" s="244"/>
      <c r="O263" s="244"/>
      <c r="P263" s="245"/>
    </row>
    <row r="264" spans="2:16" hidden="1">
      <c r="B264" s="238" t="s">
        <v>107</v>
      </c>
      <c r="C264" s="238" t="s">
        <v>86</v>
      </c>
      <c r="D264" s="238" t="s">
        <v>247</v>
      </c>
      <c r="E264" s="238" t="s">
        <v>354</v>
      </c>
      <c r="F264" s="243" t="str">
        <f t="shared" si="19"/>
        <v>2006-07 - Alkalis</v>
      </c>
      <c r="G264" s="244" t="s">
        <v>218</v>
      </c>
      <c r="H264" s="244">
        <v>44.54</v>
      </c>
      <c r="I264" s="244"/>
      <c r="J264" s="244"/>
      <c r="K264" s="244"/>
      <c r="L264" s="244"/>
      <c r="M264" s="244">
        <v>15.04</v>
      </c>
      <c r="N264" s="244">
        <v>159.04</v>
      </c>
      <c r="O264" s="244"/>
      <c r="P264" s="245"/>
    </row>
    <row r="265" spans="2:16">
      <c r="B265" s="238" t="s">
        <v>107</v>
      </c>
      <c r="C265" s="238" t="s">
        <v>86</v>
      </c>
      <c r="D265" s="238" t="s">
        <v>159</v>
      </c>
      <c r="E265" s="238" t="s">
        <v>355</v>
      </c>
      <c r="F265" s="243" t="str">
        <f t="shared" si="19"/>
        <v>2006-07 - Inorganic chemicals</v>
      </c>
      <c r="G265" s="244" t="s">
        <v>218</v>
      </c>
      <c r="H265" s="244">
        <v>33450.22</v>
      </c>
      <c r="I265" s="244">
        <v>14131.58</v>
      </c>
      <c r="J265" s="244"/>
      <c r="K265" s="244">
        <v>45.12</v>
      </c>
      <c r="L265" s="244">
        <v>3076.35</v>
      </c>
      <c r="M265" s="244">
        <v>342.93</v>
      </c>
      <c r="N265" s="244"/>
      <c r="O265" s="244"/>
      <c r="P265" s="245"/>
    </row>
    <row r="266" spans="2:16" hidden="1">
      <c r="B266" s="238" t="s">
        <v>107</v>
      </c>
      <c r="C266" s="238" t="s">
        <v>86</v>
      </c>
      <c r="D266" s="238" t="s">
        <v>356</v>
      </c>
      <c r="E266" s="238" t="s">
        <v>357</v>
      </c>
      <c r="F266" s="243" t="str">
        <f t="shared" si="19"/>
        <v>2006-07 - Reactive chemicals</v>
      </c>
      <c r="G266" s="244" t="s">
        <v>218</v>
      </c>
      <c r="H266" s="244"/>
      <c r="I266" s="244"/>
      <c r="J266" s="244"/>
      <c r="K266" s="244"/>
      <c r="L266" s="244"/>
      <c r="M266" s="244">
        <v>0.04</v>
      </c>
      <c r="N266" s="244"/>
      <c r="O266" s="244"/>
      <c r="P266" s="245"/>
    </row>
    <row r="267" spans="2:16" hidden="1">
      <c r="B267" s="238" t="s">
        <v>107</v>
      </c>
      <c r="C267" s="238" t="s">
        <v>86</v>
      </c>
      <c r="D267" s="238" t="s">
        <v>161</v>
      </c>
      <c r="E267" s="238" t="s">
        <v>358</v>
      </c>
      <c r="F267" s="243" t="str">
        <f t="shared" si="19"/>
        <v>2006-07 - Paints, resins, inks organic sludges</v>
      </c>
      <c r="G267" s="244" t="s">
        <v>218</v>
      </c>
      <c r="H267" s="244">
        <v>1099.68</v>
      </c>
      <c r="I267" s="244">
        <v>846.16</v>
      </c>
      <c r="J267" s="244">
        <v>174</v>
      </c>
      <c r="K267" s="244"/>
      <c r="L267" s="244"/>
      <c r="M267" s="244">
        <v>68.84</v>
      </c>
      <c r="N267" s="244"/>
      <c r="O267" s="244"/>
      <c r="P267" s="245"/>
    </row>
    <row r="268" spans="2:16" hidden="1">
      <c r="B268" s="238" t="s">
        <v>107</v>
      </c>
      <c r="C268" s="238" t="s">
        <v>86</v>
      </c>
      <c r="D268" s="238" t="s">
        <v>219</v>
      </c>
      <c r="E268" s="238" t="s">
        <v>359</v>
      </c>
      <c r="F268" s="243" t="str">
        <f t="shared" si="19"/>
        <v>2006-07 - Organic solvents</v>
      </c>
      <c r="G268" s="244" t="s">
        <v>218</v>
      </c>
      <c r="H268" s="244">
        <v>532.32000000000005</v>
      </c>
      <c r="I268" s="244">
        <v>654.54</v>
      </c>
      <c r="J268" s="244">
        <v>46.58</v>
      </c>
      <c r="K268" s="244">
        <v>273.85000000000002</v>
      </c>
      <c r="L268" s="244"/>
      <c r="M268" s="244">
        <v>32.35</v>
      </c>
      <c r="N268" s="244"/>
      <c r="O268" s="244"/>
      <c r="P268" s="245"/>
    </row>
    <row r="269" spans="2:16" hidden="1">
      <c r="B269" s="238" t="s">
        <v>107</v>
      </c>
      <c r="C269" s="238" t="s">
        <v>86</v>
      </c>
      <c r="D269" s="238" t="s">
        <v>228</v>
      </c>
      <c r="E269" s="238" t="s">
        <v>360</v>
      </c>
      <c r="F269" s="243" t="str">
        <f t="shared" si="19"/>
        <v>2006-07 - Pesticides</v>
      </c>
      <c r="G269" s="244" t="s">
        <v>218</v>
      </c>
      <c r="H269" s="244"/>
      <c r="I269" s="244">
        <v>483.06</v>
      </c>
      <c r="J269" s="244"/>
      <c r="K269" s="244"/>
      <c r="L269" s="244"/>
      <c r="M269" s="244">
        <v>0.47</v>
      </c>
      <c r="N269" s="244"/>
      <c r="O269" s="244"/>
      <c r="P269" s="245"/>
    </row>
    <row r="270" spans="2:16" hidden="1">
      <c r="B270" s="238" t="s">
        <v>107</v>
      </c>
      <c r="C270" s="238" t="s">
        <v>86</v>
      </c>
      <c r="D270" s="238" t="s">
        <v>231</v>
      </c>
      <c r="E270" s="238" t="s">
        <v>361</v>
      </c>
      <c r="F270" s="243" t="str">
        <f t="shared" si="19"/>
        <v>2006-07 - Oils</v>
      </c>
      <c r="G270" s="244" t="s">
        <v>218</v>
      </c>
      <c r="H270" s="244">
        <v>3919.76</v>
      </c>
      <c r="I270" s="244">
        <v>199.58</v>
      </c>
      <c r="J270" s="244"/>
      <c r="K270" s="244">
        <v>103.7</v>
      </c>
      <c r="L270" s="244"/>
      <c r="M270" s="244">
        <v>529.15</v>
      </c>
      <c r="N270" s="244"/>
      <c r="O270" s="244"/>
      <c r="P270" s="245"/>
    </row>
    <row r="271" spans="2:16" hidden="1">
      <c r="B271" s="238" t="s">
        <v>107</v>
      </c>
      <c r="C271" s="238" t="s">
        <v>86</v>
      </c>
      <c r="D271" s="238" t="s">
        <v>362</v>
      </c>
      <c r="E271" s="238" t="s">
        <v>363</v>
      </c>
      <c r="F271" s="243" t="str">
        <f t="shared" si="19"/>
        <v>2006-07 - Putrescible/organic waste</v>
      </c>
      <c r="G271" s="244" t="s">
        <v>218</v>
      </c>
      <c r="H271" s="244">
        <v>2381.9699999999998</v>
      </c>
      <c r="I271" s="244">
        <v>7536.49</v>
      </c>
      <c r="J271" s="244"/>
      <c r="K271" s="244"/>
      <c r="L271" s="244"/>
      <c r="M271" s="244">
        <v>1820.72</v>
      </c>
      <c r="N271" s="244"/>
      <c r="O271" s="244"/>
      <c r="P271" s="245"/>
    </row>
    <row r="272" spans="2:16" hidden="1">
      <c r="B272" s="238" t="s">
        <v>107</v>
      </c>
      <c r="C272" s="238" t="s">
        <v>86</v>
      </c>
      <c r="D272" s="238" t="s">
        <v>364</v>
      </c>
      <c r="E272" s="238" t="s">
        <v>365</v>
      </c>
      <c r="F272" s="243" t="str">
        <f t="shared" si="19"/>
        <v>2006-07 - Industrial washwater</v>
      </c>
      <c r="G272" s="244" t="s">
        <v>218</v>
      </c>
      <c r="H272" s="244"/>
      <c r="I272" s="244"/>
      <c r="J272" s="244"/>
      <c r="K272" s="244"/>
      <c r="L272" s="244"/>
      <c r="M272" s="244"/>
      <c r="N272" s="244"/>
      <c r="O272" s="244"/>
      <c r="P272" s="245"/>
    </row>
    <row r="273" spans="2:16" hidden="1">
      <c r="B273" s="238" t="s">
        <v>107</v>
      </c>
      <c r="C273" s="238" t="s">
        <v>86</v>
      </c>
      <c r="D273" s="238" t="s">
        <v>235</v>
      </c>
      <c r="E273" s="238" t="s">
        <v>366</v>
      </c>
      <c r="F273" s="243" t="str">
        <f t="shared" si="19"/>
        <v>2006-07 - Organic chemicals</v>
      </c>
      <c r="G273" s="244" t="s">
        <v>218</v>
      </c>
      <c r="H273" s="244">
        <v>230.76</v>
      </c>
      <c r="I273" s="244">
        <v>119.68</v>
      </c>
      <c r="J273" s="244"/>
      <c r="K273" s="244">
        <v>43.1</v>
      </c>
      <c r="L273" s="244"/>
      <c r="M273" s="244">
        <v>0.46</v>
      </c>
      <c r="N273" s="244"/>
      <c r="O273" s="244"/>
      <c r="P273" s="245"/>
    </row>
    <row r="274" spans="2:16" hidden="1">
      <c r="B274" s="238" t="s">
        <v>107</v>
      </c>
      <c r="C274" s="238" t="s">
        <v>86</v>
      </c>
      <c r="D274" s="238" t="s">
        <v>367</v>
      </c>
      <c r="E274" s="238" t="s">
        <v>368</v>
      </c>
      <c r="F274" s="243" t="str">
        <f t="shared" si="19"/>
        <v>2006-07 - Soil/sludge</v>
      </c>
      <c r="G274" s="244" t="s">
        <v>218</v>
      </c>
      <c r="H274" s="244">
        <v>54.46</v>
      </c>
      <c r="I274" s="244">
        <v>318.55</v>
      </c>
      <c r="J274" s="244"/>
      <c r="K274" s="244">
        <v>0.16</v>
      </c>
      <c r="L274" s="244"/>
      <c r="M274" s="244">
        <v>133.96</v>
      </c>
      <c r="N274" s="244"/>
      <c r="O274" s="244"/>
      <c r="P274" s="245"/>
    </row>
    <row r="275" spans="2:16" hidden="1">
      <c r="B275" s="238" t="s">
        <v>107</v>
      </c>
      <c r="C275" s="238" t="s">
        <v>86</v>
      </c>
      <c r="D275" s="238" t="s">
        <v>216</v>
      </c>
      <c r="E275" s="238" t="s">
        <v>369</v>
      </c>
      <c r="F275" s="243" t="str">
        <f t="shared" si="19"/>
        <v>2006-07 - Clinical &amp; pharmaceutical</v>
      </c>
      <c r="G275" s="244" t="s">
        <v>218</v>
      </c>
      <c r="H275" s="244">
        <v>146.88999999999999</v>
      </c>
      <c r="I275" s="244">
        <v>14.12</v>
      </c>
      <c r="J275" s="244"/>
      <c r="K275" s="244"/>
      <c r="L275" s="244"/>
      <c r="M275" s="244">
        <v>152.15</v>
      </c>
      <c r="N275" s="244"/>
      <c r="O275" s="244"/>
      <c r="P275" s="245"/>
    </row>
    <row r="276" spans="2:16" hidden="1">
      <c r="B276" s="238" t="s">
        <v>107</v>
      </c>
      <c r="C276" s="238" t="s">
        <v>86</v>
      </c>
      <c r="D276" s="238" t="s">
        <v>370</v>
      </c>
      <c r="E276" s="238" t="s">
        <v>371</v>
      </c>
      <c r="F276" s="243" t="str">
        <f t="shared" si="19"/>
        <v>2006-07 - Misc.</v>
      </c>
      <c r="G276" s="244" t="s">
        <v>218</v>
      </c>
      <c r="H276" s="244">
        <v>34.5</v>
      </c>
      <c r="I276" s="244"/>
      <c r="J276" s="244"/>
      <c r="K276" s="244"/>
      <c r="L276" s="244"/>
      <c r="M276" s="244">
        <v>155.47999999999999</v>
      </c>
      <c r="N276" s="244"/>
      <c r="O276" s="244"/>
      <c r="P276" s="245"/>
    </row>
    <row r="277" spans="2:16" hidden="1">
      <c r="B277" s="238" t="s">
        <v>109</v>
      </c>
      <c r="C277" s="238" t="s">
        <v>78</v>
      </c>
      <c r="D277" s="238" t="s">
        <v>157</v>
      </c>
      <c r="E277" s="238" t="s">
        <v>352</v>
      </c>
      <c r="F277" s="243" t="str">
        <f t="shared" si="19"/>
        <v>2012-13 - Plating &amp; heat treatment</v>
      </c>
      <c r="G277" s="244">
        <v>22</v>
      </c>
      <c r="H277" s="244" t="s">
        <v>218</v>
      </c>
      <c r="I277" s="244">
        <v>23</v>
      </c>
      <c r="J277" s="244">
        <v>0</v>
      </c>
      <c r="K277" s="244">
        <v>1</v>
      </c>
      <c r="L277" s="244">
        <v>0</v>
      </c>
      <c r="M277" s="244">
        <v>0</v>
      </c>
      <c r="N277" s="244">
        <v>0</v>
      </c>
      <c r="O277" s="244">
        <v>0</v>
      </c>
      <c r="P277" s="245"/>
    </row>
    <row r="278" spans="2:16" hidden="1">
      <c r="B278" s="238" t="s">
        <v>109</v>
      </c>
      <c r="C278" s="238" t="s">
        <v>78</v>
      </c>
      <c r="D278" s="238" t="s">
        <v>186</v>
      </c>
      <c r="E278" s="238" t="s">
        <v>353</v>
      </c>
      <c r="F278" s="243" t="str">
        <f t="shared" si="19"/>
        <v>2012-13 - Acids</v>
      </c>
      <c r="G278" s="244">
        <v>1058</v>
      </c>
      <c r="H278" s="244" t="s">
        <v>218</v>
      </c>
      <c r="I278" s="244">
        <v>0</v>
      </c>
      <c r="J278" s="244">
        <v>0</v>
      </c>
      <c r="K278" s="244">
        <v>0</v>
      </c>
      <c r="L278" s="244">
        <v>2</v>
      </c>
      <c r="M278" s="244">
        <v>0</v>
      </c>
      <c r="N278" s="244">
        <v>0</v>
      </c>
      <c r="O278" s="244">
        <v>0</v>
      </c>
      <c r="P278" s="245"/>
    </row>
    <row r="279" spans="2:16" hidden="1">
      <c r="B279" s="238" t="s">
        <v>109</v>
      </c>
      <c r="C279" s="238" t="s">
        <v>78</v>
      </c>
      <c r="D279" s="238" t="s">
        <v>247</v>
      </c>
      <c r="E279" s="238" t="s">
        <v>354</v>
      </c>
      <c r="F279" s="243" t="str">
        <f t="shared" si="19"/>
        <v>2012-13 - Alkalis</v>
      </c>
      <c r="G279" s="244">
        <v>127</v>
      </c>
      <c r="H279" s="244" t="s">
        <v>218</v>
      </c>
      <c r="I279" s="244">
        <v>0</v>
      </c>
      <c r="J279" s="244">
        <v>0</v>
      </c>
      <c r="K279" s="244">
        <v>0</v>
      </c>
      <c r="L279" s="244">
        <v>0</v>
      </c>
      <c r="M279" s="244">
        <v>0</v>
      </c>
      <c r="N279" s="244">
        <v>0</v>
      </c>
      <c r="O279" s="244">
        <v>0</v>
      </c>
      <c r="P279" s="245"/>
    </row>
    <row r="280" spans="2:16">
      <c r="B280" s="238" t="s">
        <v>109</v>
      </c>
      <c r="C280" s="238" t="s">
        <v>78</v>
      </c>
      <c r="D280" s="238" t="s">
        <v>159</v>
      </c>
      <c r="E280" s="238" t="s">
        <v>355</v>
      </c>
      <c r="F280" s="243" t="str">
        <f t="shared" si="19"/>
        <v>2012-13 - Inorganic chemicals</v>
      </c>
      <c r="G280" s="244">
        <v>15994</v>
      </c>
      <c r="H280" s="244" t="s">
        <v>218</v>
      </c>
      <c r="I280" s="244">
        <v>3</v>
      </c>
      <c r="J280" s="244">
        <v>26</v>
      </c>
      <c r="K280" s="244">
        <v>241</v>
      </c>
      <c r="L280" s="244">
        <v>262</v>
      </c>
      <c r="M280" s="244">
        <v>0</v>
      </c>
      <c r="N280" s="244">
        <v>0</v>
      </c>
      <c r="O280" s="244">
        <v>0</v>
      </c>
      <c r="P280" s="245"/>
    </row>
    <row r="281" spans="2:16" hidden="1">
      <c r="B281" s="238" t="s">
        <v>109</v>
      </c>
      <c r="C281" s="238" t="s">
        <v>78</v>
      </c>
      <c r="D281" s="238" t="s">
        <v>356</v>
      </c>
      <c r="E281" s="238" t="s">
        <v>357</v>
      </c>
      <c r="F281" s="243" t="str">
        <f t="shared" si="19"/>
        <v>2012-13 - Reactive chemicals</v>
      </c>
      <c r="G281" s="244">
        <v>3</v>
      </c>
      <c r="H281" s="244" t="s">
        <v>218</v>
      </c>
      <c r="I281" s="244">
        <v>0</v>
      </c>
      <c r="J281" s="244">
        <v>0</v>
      </c>
      <c r="K281" s="244">
        <v>0</v>
      </c>
      <c r="L281" s="244">
        <v>0</v>
      </c>
      <c r="M281" s="244">
        <v>0</v>
      </c>
      <c r="N281" s="244">
        <v>0</v>
      </c>
      <c r="O281" s="244">
        <v>0</v>
      </c>
      <c r="P281" s="245"/>
    </row>
    <row r="282" spans="2:16" hidden="1">
      <c r="B282" s="238" t="s">
        <v>109</v>
      </c>
      <c r="C282" s="238" t="s">
        <v>78</v>
      </c>
      <c r="D282" s="238" t="s">
        <v>161</v>
      </c>
      <c r="E282" s="238" t="s">
        <v>358</v>
      </c>
      <c r="F282" s="243" t="str">
        <f t="shared" si="19"/>
        <v>2012-13 - Paints, resins, inks organic sludges</v>
      </c>
      <c r="G282" s="244">
        <v>1582</v>
      </c>
      <c r="H282" s="244" t="s">
        <v>218</v>
      </c>
      <c r="I282" s="244">
        <v>443</v>
      </c>
      <c r="J282" s="244">
        <v>217</v>
      </c>
      <c r="K282" s="244">
        <v>144</v>
      </c>
      <c r="L282" s="244">
        <v>2</v>
      </c>
      <c r="M282" s="244">
        <v>0</v>
      </c>
      <c r="N282" s="244">
        <v>0</v>
      </c>
      <c r="O282" s="244">
        <v>0</v>
      </c>
      <c r="P282" s="245"/>
    </row>
    <row r="283" spans="2:16" hidden="1">
      <c r="B283" s="238" t="s">
        <v>109</v>
      </c>
      <c r="C283" s="238" t="s">
        <v>78</v>
      </c>
      <c r="D283" s="238" t="s">
        <v>219</v>
      </c>
      <c r="E283" s="238" t="s">
        <v>359</v>
      </c>
      <c r="F283" s="243" t="str">
        <f t="shared" si="19"/>
        <v>2012-13 - Organic solvents</v>
      </c>
      <c r="G283" s="244">
        <v>1045</v>
      </c>
      <c r="H283" s="244" t="s">
        <v>218</v>
      </c>
      <c r="I283" s="244">
        <v>107</v>
      </c>
      <c r="J283" s="244">
        <v>63</v>
      </c>
      <c r="K283" s="244">
        <v>96</v>
      </c>
      <c r="L283" s="244">
        <v>273</v>
      </c>
      <c r="M283" s="244">
        <v>0</v>
      </c>
      <c r="N283" s="244">
        <v>0</v>
      </c>
      <c r="O283" s="244">
        <v>0</v>
      </c>
      <c r="P283" s="245"/>
    </row>
    <row r="284" spans="2:16" hidden="1">
      <c r="B284" s="238" t="s">
        <v>109</v>
      </c>
      <c r="C284" s="238" t="s">
        <v>78</v>
      </c>
      <c r="D284" s="238" t="s">
        <v>228</v>
      </c>
      <c r="E284" s="238" t="s">
        <v>360</v>
      </c>
      <c r="F284" s="243" t="str">
        <f t="shared" si="19"/>
        <v>2012-13 - Pesticides</v>
      </c>
      <c r="G284" s="244">
        <v>83</v>
      </c>
      <c r="H284" s="244" t="s">
        <v>218</v>
      </c>
      <c r="I284" s="244">
        <v>718</v>
      </c>
      <c r="J284" s="244">
        <v>260</v>
      </c>
      <c r="K284" s="244">
        <v>10</v>
      </c>
      <c r="L284" s="244"/>
      <c r="M284" s="244">
        <v>0</v>
      </c>
      <c r="N284" s="244">
        <v>4</v>
      </c>
      <c r="O284" s="244">
        <v>0</v>
      </c>
      <c r="P284" s="245"/>
    </row>
    <row r="285" spans="2:16" hidden="1">
      <c r="B285" s="238" t="s">
        <v>109</v>
      </c>
      <c r="C285" s="238" t="s">
        <v>78</v>
      </c>
      <c r="D285" s="238" t="s">
        <v>231</v>
      </c>
      <c r="E285" s="238" t="s">
        <v>361</v>
      </c>
      <c r="F285" s="243" t="str">
        <f t="shared" si="19"/>
        <v>2012-13 - Oils</v>
      </c>
      <c r="G285" s="244">
        <v>4428</v>
      </c>
      <c r="H285" s="244" t="s">
        <v>218</v>
      </c>
      <c r="I285" s="244">
        <v>1492</v>
      </c>
      <c r="J285" s="244">
        <v>73</v>
      </c>
      <c r="K285" s="244">
        <v>9</v>
      </c>
      <c r="L285" s="244">
        <v>80</v>
      </c>
      <c r="M285" s="244">
        <v>0</v>
      </c>
      <c r="N285" s="244">
        <v>0</v>
      </c>
      <c r="O285" s="244">
        <v>0</v>
      </c>
      <c r="P285" s="245"/>
    </row>
    <row r="286" spans="2:16" hidden="1">
      <c r="B286" s="238" t="s">
        <v>109</v>
      </c>
      <c r="C286" s="238" t="s">
        <v>78</v>
      </c>
      <c r="D286" s="238" t="s">
        <v>362</v>
      </c>
      <c r="E286" s="238" t="s">
        <v>363</v>
      </c>
      <c r="F286" s="243" t="str">
        <f t="shared" si="19"/>
        <v>2012-13 - Putrescible/organic waste</v>
      </c>
      <c r="G286" s="244">
        <v>3151</v>
      </c>
      <c r="H286" s="244" t="s">
        <v>218</v>
      </c>
      <c r="I286" s="244">
        <v>0</v>
      </c>
      <c r="J286" s="244">
        <v>0</v>
      </c>
      <c r="K286" s="244">
        <v>173</v>
      </c>
      <c r="L286" s="244">
        <v>0</v>
      </c>
      <c r="M286" s="244">
        <v>0</v>
      </c>
      <c r="N286" s="244">
        <v>0</v>
      </c>
      <c r="O286" s="244">
        <v>0</v>
      </c>
      <c r="P286" s="245"/>
    </row>
    <row r="287" spans="2:16" hidden="1">
      <c r="B287" s="238" t="s">
        <v>109</v>
      </c>
      <c r="C287" s="238" t="s">
        <v>78</v>
      </c>
      <c r="D287" s="238" t="s">
        <v>364</v>
      </c>
      <c r="E287" s="238" t="s">
        <v>365</v>
      </c>
      <c r="F287" s="243" t="str">
        <f t="shared" si="19"/>
        <v>2012-13 - Industrial washwater</v>
      </c>
      <c r="G287" s="244">
        <v>299</v>
      </c>
      <c r="H287" s="244" t="s">
        <v>218</v>
      </c>
      <c r="I287" s="244">
        <v>215</v>
      </c>
      <c r="J287" s="244">
        <v>0</v>
      </c>
      <c r="K287" s="244">
        <v>0</v>
      </c>
      <c r="L287" s="244">
        <v>0</v>
      </c>
      <c r="M287" s="244">
        <v>0</v>
      </c>
      <c r="N287" s="244">
        <v>0</v>
      </c>
      <c r="O287" s="244">
        <v>0</v>
      </c>
      <c r="P287" s="245"/>
    </row>
    <row r="288" spans="2:16" hidden="1">
      <c r="B288" s="238" t="s">
        <v>109</v>
      </c>
      <c r="C288" s="238" t="s">
        <v>78</v>
      </c>
      <c r="D288" s="238" t="s">
        <v>235</v>
      </c>
      <c r="E288" s="238" t="s">
        <v>366</v>
      </c>
      <c r="F288" s="243" t="str">
        <f t="shared" si="19"/>
        <v>2012-13 - Organic chemicals</v>
      </c>
      <c r="G288" s="244">
        <v>67</v>
      </c>
      <c r="H288" s="244" t="s">
        <v>218</v>
      </c>
      <c r="I288" s="244">
        <v>2</v>
      </c>
      <c r="J288" s="244">
        <v>0</v>
      </c>
      <c r="K288" s="244">
        <v>0</v>
      </c>
      <c r="L288" s="244">
        <v>22</v>
      </c>
      <c r="M288" s="244">
        <v>0</v>
      </c>
      <c r="N288" s="244">
        <v>0</v>
      </c>
      <c r="O288" s="244">
        <v>0</v>
      </c>
      <c r="P288" s="245"/>
    </row>
    <row r="289" spans="2:16" hidden="1">
      <c r="B289" s="238" t="s">
        <v>109</v>
      </c>
      <c r="C289" s="238" t="s">
        <v>78</v>
      </c>
      <c r="D289" s="238" t="s">
        <v>367</v>
      </c>
      <c r="E289" s="238" t="s">
        <v>368</v>
      </c>
      <c r="F289" s="243" t="str">
        <f t="shared" si="19"/>
        <v>2012-13 - Soil/sludge</v>
      </c>
      <c r="G289" s="244">
        <v>439</v>
      </c>
      <c r="H289" s="244" t="s">
        <v>218</v>
      </c>
      <c r="I289" s="244">
        <v>50</v>
      </c>
      <c r="J289" s="244">
        <v>0</v>
      </c>
      <c r="K289" s="244">
        <v>212</v>
      </c>
      <c r="L289" s="244">
        <v>2</v>
      </c>
      <c r="M289" s="244">
        <v>0</v>
      </c>
      <c r="N289" s="244">
        <v>0</v>
      </c>
      <c r="O289" s="244">
        <v>0</v>
      </c>
      <c r="P289" s="245"/>
    </row>
    <row r="290" spans="2:16" hidden="1">
      <c r="B290" s="238" t="s">
        <v>109</v>
      </c>
      <c r="C290" s="238" t="s">
        <v>78</v>
      </c>
      <c r="D290" s="238" t="s">
        <v>216</v>
      </c>
      <c r="E290" s="238" t="s">
        <v>369</v>
      </c>
      <c r="F290" s="243" t="str">
        <f t="shared" si="19"/>
        <v>2012-13 - Clinical &amp; pharmaceutical</v>
      </c>
      <c r="G290" s="244">
        <v>253</v>
      </c>
      <c r="H290" s="244" t="s">
        <v>218</v>
      </c>
      <c r="I290" s="244">
        <v>66</v>
      </c>
      <c r="J290" s="244">
        <v>0</v>
      </c>
      <c r="K290" s="244">
        <v>193</v>
      </c>
      <c r="L290" s="244">
        <v>24</v>
      </c>
      <c r="M290" s="244">
        <v>0</v>
      </c>
      <c r="N290" s="244">
        <v>0</v>
      </c>
      <c r="O290" s="244">
        <v>0</v>
      </c>
      <c r="P290" s="245"/>
    </row>
    <row r="291" spans="2:16" hidden="1">
      <c r="B291" s="238" t="s">
        <v>109</v>
      </c>
      <c r="C291" s="238" t="s">
        <v>78</v>
      </c>
      <c r="D291" s="238" t="s">
        <v>370</v>
      </c>
      <c r="E291" s="238" t="s">
        <v>371</v>
      </c>
      <c r="F291" s="243" t="str">
        <f t="shared" si="19"/>
        <v>2012-13 - Misc.</v>
      </c>
      <c r="G291" s="244">
        <v>15</v>
      </c>
      <c r="H291" s="244" t="s">
        <v>218</v>
      </c>
      <c r="I291" s="244">
        <v>0</v>
      </c>
      <c r="J291" s="244">
        <v>0</v>
      </c>
      <c r="K291" s="244">
        <v>0</v>
      </c>
      <c r="L291" s="244">
        <v>11</v>
      </c>
      <c r="M291" s="244">
        <v>0</v>
      </c>
      <c r="N291" s="244">
        <v>0</v>
      </c>
      <c r="O291" s="244">
        <v>0</v>
      </c>
      <c r="P291" s="245"/>
    </row>
    <row r="292" spans="2:16" hidden="1">
      <c r="B292" s="238" t="s">
        <v>109</v>
      </c>
      <c r="C292" s="238" t="s">
        <v>79</v>
      </c>
      <c r="D292" s="238" t="s">
        <v>157</v>
      </c>
      <c r="E292" s="238" t="s">
        <v>352</v>
      </c>
      <c r="F292" s="243" t="str">
        <f t="shared" si="19"/>
        <v>2011-12 - Plating &amp; heat treatment</v>
      </c>
      <c r="G292" s="244"/>
      <c r="H292" s="244" t="s">
        <v>218</v>
      </c>
      <c r="I292" s="244"/>
      <c r="J292" s="244"/>
      <c r="K292" s="244"/>
      <c r="L292" s="244"/>
      <c r="M292" s="244" t="s">
        <v>330</v>
      </c>
      <c r="N292" s="244" t="s">
        <v>330</v>
      </c>
      <c r="O292" s="244" t="s">
        <v>330</v>
      </c>
      <c r="P292" s="245"/>
    </row>
    <row r="293" spans="2:16" hidden="1">
      <c r="B293" s="238" t="s">
        <v>109</v>
      </c>
      <c r="C293" s="238" t="s">
        <v>79</v>
      </c>
      <c r="D293" s="238" t="s">
        <v>186</v>
      </c>
      <c r="E293" s="238" t="s">
        <v>353</v>
      </c>
      <c r="F293" s="243" t="str">
        <f t="shared" si="19"/>
        <v>2011-12 - Acids</v>
      </c>
      <c r="G293" s="244">
        <v>253</v>
      </c>
      <c r="H293" s="244" t="s">
        <v>218</v>
      </c>
      <c r="I293" s="244">
        <v>11</v>
      </c>
      <c r="J293" s="244"/>
      <c r="K293" s="244"/>
      <c r="L293" s="244">
        <v>29</v>
      </c>
      <c r="M293" s="244" t="s">
        <v>330</v>
      </c>
      <c r="N293" s="244" t="s">
        <v>330</v>
      </c>
      <c r="O293" s="244" t="s">
        <v>330</v>
      </c>
      <c r="P293" s="245"/>
    </row>
    <row r="294" spans="2:16" hidden="1">
      <c r="B294" s="238" t="s">
        <v>109</v>
      </c>
      <c r="C294" s="238" t="s">
        <v>79</v>
      </c>
      <c r="D294" s="238" t="s">
        <v>247</v>
      </c>
      <c r="E294" s="238" t="s">
        <v>354</v>
      </c>
      <c r="F294" s="243" t="str">
        <f t="shared" si="19"/>
        <v>2011-12 - Alkalis</v>
      </c>
      <c r="G294" s="244">
        <v>303</v>
      </c>
      <c r="H294" s="244" t="s">
        <v>218</v>
      </c>
      <c r="I294" s="244">
        <v>4</v>
      </c>
      <c r="J294" s="244"/>
      <c r="K294" s="244"/>
      <c r="L294" s="244">
        <v>1</v>
      </c>
      <c r="M294" s="244" t="s">
        <v>330</v>
      </c>
      <c r="N294" s="244" t="s">
        <v>330</v>
      </c>
      <c r="O294" s="244" t="s">
        <v>330</v>
      </c>
      <c r="P294" s="245"/>
    </row>
    <row r="295" spans="2:16">
      <c r="B295" s="238" t="s">
        <v>109</v>
      </c>
      <c r="C295" s="238" t="s">
        <v>79</v>
      </c>
      <c r="D295" s="238" t="s">
        <v>159</v>
      </c>
      <c r="E295" s="238" t="s">
        <v>355</v>
      </c>
      <c r="F295" s="243" t="str">
        <f t="shared" si="19"/>
        <v>2011-12 - Inorganic chemicals</v>
      </c>
      <c r="G295" s="244">
        <v>13296</v>
      </c>
      <c r="H295" s="244" t="s">
        <v>218</v>
      </c>
      <c r="I295" s="244">
        <v>0</v>
      </c>
      <c r="J295" s="244">
        <v>57</v>
      </c>
      <c r="K295" s="244">
        <v>703</v>
      </c>
      <c r="L295" s="244">
        <v>3393</v>
      </c>
      <c r="M295" s="244" t="s">
        <v>330</v>
      </c>
      <c r="N295" s="244" t="s">
        <v>330</v>
      </c>
      <c r="O295" s="244" t="s">
        <v>330</v>
      </c>
      <c r="P295" s="245"/>
    </row>
    <row r="296" spans="2:16" hidden="1">
      <c r="B296" s="238" t="s">
        <v>109</v>
      </c>
      <c r="C296" s="238" t="s">
        <v>79</v>
      </c>
      <c r="D296" s="238" t="s">
        <v>356</v>
      </c>
      <c r="E296" s="238" t="s">
        <v>357</v>
      </c>
      <c r="F296" s="243" t="str">
        <f t="shared" si="19"/>
        <v>2011-12 - Reactive chemicals</v>
      </c>
      <c r="G296" s="244">
        <v>0</v>
      </c>
      <c r="H296" s="244" t="s">
        <v>218</v>
      </c>
      <c r="I296" s="244"/>
      <c r="J296" s="244"/>
      <c r="K296" s="244">
        <v>2</v>
      </c>
      <c r="L296" s="244">
        <v>0</v>
      </c>
      <c r="M296" s="244" t="s">
        <v>330</v>
      </c>
      <c r="N296" s="244" t="s">
        <v>330</v>
      </c>
      <c r="O296" s="244" t="s">
        <v>330</v>
      </c>
      <c r="P296" s="245"/>
    </row>
    <row r="297" spans="2:16" hidden="1">
      <c r="B297" s="238" t="s">
        <v>109</v>
      </c>
      <c r="C297" s="238" t="s">
        <v>79</v>
      </c>
      <c r="D297" s="238" t="s">
        <v>161</v>
      </c>
      <c r="E297" s="238" t="s">
        <v>358</v>
      </c>
      <c r="F297" s="243" t="str">
        <f t="shared" si="19"/>
        <v>2011-12 - Paints, resins, inks organic sludges</v>
      </c>
      <c r="G297" s="244">
        <v>1596</v>
      </c>
      <c r="H297" s="244" t="s">
        <v>218</v>
      </c>
      <c r="I297" s="244">
        <v>465</v>
      </c>
      <c r="J297" s="244">
        <v>207</v>
      </c>
      <c r="K297" s="244">
        <v>54</v>
      </c>
      <c r="L297" s="244">
        <v>2</v>
      </c>
      <c r="M297" s="244" t="s">
        <v>330</v>
      </c>
      <c r="N297" s="244" t="s">
        <v>330</v>
      </c>
      <c r="O297" s="244" t="s">
        <v>330</v>
      </c>
      <c r="P297" s="245"/>
    </row>
    <row r="298" spans="2:16" hidden="1">
      <c r="B298" s="238" t="s">
        <v>109</v>
      </c>
      <c r="C298" s="238" t="s">
        <v>79</v>
      </c>
      <c r="D298" s="238" t="s">
        <v>219</v>
      </c>
      <c r="E298" s="238" t="s">
        <v>359</v>
      </c>
      <c r="F298" s="243" t="str">
        <f t="shared" si="19"/>
        <v>2011-12 - Organic solvents</v>
      </c>
      <c r="G298" s="244">
        <v>1138</v>
      </c>
      <c r="H298" s="244" t="s">
        <v>218</v>
      </c>
      <c r="I298" s="244">
        <v>59</v>
      </c>
      <c r="J298" s="244"/>
      <c r="K298" s="244">
        <v>98</v>
      </c>
      <c r="L298" s="244">
        <v>531</v>
      </c>
      <c r="M298" s="244" t="s">
        <v>330</v>
      </c>
      <c r="N298" s="244" t="s">
        <v>330</v>
      </c>
      <c r="O298" s="244" t="s">
        <v>330</v>
      </c>
      <c r="P298" s="245"/>
    </row>
    <row r="299" spans="2:16" hidden="1">
      <c r="B299" s="238" t="s">
        <v>109</v>
      </c>
      <c r="C299" s="238" t="s">
        <v>79</v>
      </c>
      <c r="D299" s="238" t="s">
        <v>228</v>
      </c>
      <c r="E299" s="238" t="s">
        <v>360</v>
      </c>
      <c r="F299" s="243" t="str">
        <f t="shared" si="19"/>
        <v>2011-12 - Pesticides</v>
      </c>
      <c r="G299" s="244">
        <v>160</v>
      </c>
      <c r="H299" s="244" t="s">
        <v>218</v>
      </c>
      <c r="I299" s="244">
        <v>494</v>
      </c>
      <c r="J299" s="244"/>
      <c r="K299" s="244">
        <v>65</v>
      </c>
      <c r="L299" s="244">
        <v>0</v>
      </c>
      <c r="M299" s="244" t="s">
        <v>330</v>
      </c>
      <c r="N299" s="244" t="s">
        <v>330</v>
      </c>
      <c r="O299" s="244" t="s">
        <v>330</v>
      </c>
      <c r="P299" s="245"/>
    </row>
    <row r="300" spans="2:16" hidden="1">
      <c r="B300" s="238" t="s">
        <v>109</v>
      </c>
      <c r="C300" s="238" t="s">
        <v>79</v>
      </c>
      <c r="D300" s="238" t="s">
        <v>231</v>
      </c>
      <c r="E300" s="238" t="s">
        <v>361</v>
      </c>
      <c r="F300" s="243" t="str">
        <f t="shared" ref="F300:F363" si="20">CONCATENATE(C300," - ",E300)</f>
        <v>2011-12 - Oils</v>
      </c>
      <c r="G300" s="244">
        <v>3625</v>
      </c>
      <c r="H300" s="244" t="s">
        <v>218</v>
      </c>
      <c r="I300" s="244">
        <v>1634</v>
      </c>
      <c r="J300" s="244"/>
      <c r="K300" s="244">
        <v>1</v>
      </c>
      <c r="L300" s="244">
        <v>313</v>
      </c>
      <c r="M300" s="244" t="s">
        <v>330</v>
      </c>
      <c r="N300" s="244" t="s">
        <v>330</v>
      </c>
      <c r="O300" s="244" t="s">
        <v>330</v>
      </c>
      <c r="P300" s="245"/>
    </row>
    <row r="301" spans="2:16" hidden="1">
      <c r="B301" s="238" t="s">
        <v>109</v>
      </c>
      <c r="C301" s="238" t="s">
        <v>79</v>
      </c>
      <c r="D301" s="238" t="s">
        <v>362</v>
      </c>
      <c r="E301" s="238" t="s">
        <v>363</v>
      </c>
      <c r="F301" s="243" t="str">
        <f t="shared" si="20"/>
        <v>2011-12 - Putrescible/organic waste</v>
      </c>
      <c r="G301" s="244">
        <v>4234</v>
      </c>
      <c r="H301" s="244" t="s">
        <v>218</v>
      </c>
      <c r="I301" s="244"/>
      <c r="J301" s="244"/>
      <c r="K301" s="244"/>
      <c r="L301" s="244"/>
      <c r="M301" s="244" t="s">
        <v>330</v>
      </c>
      <c r="N301" s="244" t="s">
        <v>330</v>
      </c>
      <c r="O301" s="244" t="s">
        <v>330</v>
      </c>
      <c r="P301" s="245"/>
    </row>
    <row r="302" spans="2:16" hidden="1">
      <c r="B302" s="238" t="s">
        <v>109</v>
      </c>
      <c r="C302" s="238" t="s">
        <v>79</v>
      </c>
      <c r="D302" s="238" t="s">
        <v>364</v>
      </c>
      <c r="E302" s="238" t="s">
        <v>365</v>
      </c>
      <c r="F302" s="243" t="str">
        <f t="shared" si="20"/>
        <v>2011-12 - Industrial washwater</v>
      </c>
      <c r="G302" s="244">
        <v>92</v>
      </c>
      <c r="H302" s="244" t="s">
        <v>218</v>
      </c>
      <c r="I302" s="244">
        <v>23</v>
      </c>
      <c r="J302" s="244"/>
      <c r="K302" s="244"/>
      <c r="L302" s="244"/>
      <c r="M302" s="244" t="s">
        <v>330</v>
      </c>
      <c r="N302" s="244" t="s">
        <v>330</v>
      </c>
      <c r="O302" s="244" t="s">
        <v>330</v>
      </c>
      <c r="P302" s="245"/>
    </row>
    <row r="303" spans="2:16" hidden="1">
      <c r="B303" s="238" t="s">
        <v>109</v>
      </c>
      <c r="C303" s="238" t="s">
        <v>79</v>
      </c>
      <c r="D303" s="238" t="s">
        <v>235</v>
      </c>
      <c r="E303" s="238" t="s">
        <v>366</v>
      </c>
      <c r="F303" s="243" t="str">
        <f t="shared" si="20"/>
        <v>2011-12 - Organic chemicals</v>
      </c>
      <c r="G303" s="244">
        <v>106</v>
      </c>
      <c r="H303" s="244" t="s">
        <v>218</v>
      </c>
      <c r="I303" s="244">
        <v>98</v>
      </c>
      <c r="J303" s="244"/>
      <c r="K303" s="244">
        <v>15</v>
      </c>
      <c r="L303" s="244">
        <v>53</v>
      </c>
      <c r="M303" s="244" t="s">
        <v>330</v>
      </c>
      <c r="N303" s="244" t="s">
        <v>330</v>
      </c>
      <c r="O303" s="244" t="s">
        <v>330</v>
      </c>
      <c r="P303" s="245"/>
    </row>
    <row r="304" spans="2:16" hidden="1">
      <c r="B304" s="238" t="s">
        <v>109</v>
      </c>
      <c r="C304" s="238" t="s">
        <v>79</v>
      </c>
      <c r="D304" s="238" t="s">
        <v>367</v>
      </c>
      <c r="E304" s="238" t="s">
        <v>368</v>
      </c>
      <c r="F304" s="243" t="str">
        <f t="shared" si="20"/>
        <v>2011-12 - Soil/sludge</v>
      </c>
      <c r="G304" s="244">
        <v>53</v>
      </c>
      <c r="H304" s="244" t="s">
        <v>218</v>
      </c>
      <c r="I304" s="244">
        <v>84</v>
      </c>
      <c r="J304" s="244"/>
      <c r="K304" s="244"/>
      <c r="L304" s="244">
        <v>18</v>
      </c>
      <c r="M304" s="244" t="s">
        <v>330</v>
      </c>
      <c r="N304" s="244" t="s">
        <v>330</v>
      </c>
      <c r="O304" s="244" t="s">
        <v>330</v>
      </c>
      <c r="P304" s="245"/>
    </row>
    <row r="305" spans="2:16" hidden="1">
      <c r="B305" s="238" t="s">
        <v>109</v>
      </c>
      <c r="C305" s="238" t="s">
        <v>79</v>
      </c>
      <c r="D305" s="238" t="s">
        <v>216</v>
      </c>
      <c r="E305" s="238" t="s">
        <v>369</v>
      </c>
      <c r="F305" s="243" t="str">
        <f t="shared" si="20"/>
        <v>2011-12 - Clinical &amp; pharmaceutical</v>
      </c>
      <c r="G305" s="244">
        <v>197</v>
      </c>
      <c r="H305" s="244" t="s">
        <v>218</v>
      </c>
      <c r="I305" s="244">
        <v>374</v>
      </c>
      <c r="J305" s="244">
        <v>19</v>
      </c>
      <c r="K305" s="244">
        <v>711</v>
      </c>
      <c r="L305" s="244">
        <v>0</v>
      </c>
      <c r="M305" s="244" t="s">
        <v>330</v>
      </c>
      <c r="N305" s="244" t="s">
        <v>330</v>
      </c>
      <c r="O305" s="244" t="s">
        <v>330</v>
      </c>
      <c r="P305" s="245"/>
    </row>
    <row r="306" spans="2:16" hidden="1">
      <c r="B306" s="238" t="s">
        <v>109</v>
      </c>
      <c r="C306" s="238" t="s">
        <v>79</v>
      </c>
      <c r="D306" s="238" t="s">
        <v>370</v>
      </c>
      <c r="E306" s="238" t="s">
        <v>371</v>
      </c>
      <c r="F306" s="243" t="str">
        <f t="shared" si="20"/>
        <v>2011-12 - Misc.</v>
      </c>
      <c r="G306" s="244">
        <v>3</v>
      </c>
      <c r="H306" s="244" t="s">
        <v>218</v>
      </c>
      <c r="I306" s="244">
        <v>19</v>
      </c>
      <c r="J306" s="244"/>
      <c r="K306" s="244"/>
      <c r="L306" s="244">
        <v>11</v>
      </c>
      <c r="M306" s="244" t="s">
        <v>330</v>
      </c>
      <c r="N306" s="244" t="s">
        <v>330</v>
      </c>
      <c r="O306" s="244" t="s">
        <v>330</v>
      </c>
      <c r="P306" s="245"/>
    </row>
    <row r="307" spans="2:16" hidden="1">
      <c r="B307" s="238" t="s">
        <v>109</v>
      </c>
      <c r="C307" s="238" t="s">
        <v>80</v>
      </c>
      <c r="D307" s="238" t="s">
        <v>157</v>
      </c>
      <c r="E307" s="238" t="s">
        <v>352</v>
      </c>
      <c r="F307" s="243" t="str">
        <f t="shared" si="20"/>
        <v>2010-11 - Plating &amp; heat treatment</v>
      </c>
      <c r="G307" s="244">
        <v>0</v>
      </c>
      <c r="H307" s="244" t="s">
        <v>218</v>
      </c>
      <c r="I307" s="244">
        <v>7.88</v>
      </c>
      <c r="J307" s="244">
        <v>0</v>
      </c>
      <c r="K307" s="244">
        <v>0</v>
      </c>
      <c r="L307" s="244">
        <v>0</v>
      </c>
      <c r="M307" s="244">
        <v>0</v>
      </c>
      <c r="N307" s="244">
        <v>0</v>
      </c>
      <c r="O307" s="244"/>
      <c r="P307" s="245"/>
    </row>
    <row r="308" spans="2:16" hidden="1">
      <c r="B308" s="238" t="s">
        <v>109</v>
      </c>
      <c r="C308" s="238" t="s">
        <v>80</v>
      </c>
      <c r="D308" s="238" t="s">
        <v>186</v>
      </c>
      <c r="E308" s="238" t="s">
        <v>353</v>
      </c>
      <c r="F308" s="243" t="str">
        <f t="shared" si="20"/>
        <v>2010-11 - Acids</v>
      </c>
      <c r="G308" s="244">
        <v>59.56</v>
      </c>
      <c r="H308" s="244" t="s">
        <v>218</v>
      </c>
      <c r="I308" s="244">
        <v>1.7</v>
      </c>
      <c r="J308" s="244">
        <v>0</v>
      </c>
      <c r="K308" s="244">
        <v>1.87</v>
      </c>
      <c r="L308" s="244">
        <v>1.77</v>
      </c>
      <c r="M308" s="244">
        <v>0.2</v>
      </c>
      <c r="N308" s="244">
        <v>0</v>
      </c>
      <c r="O308" s="244"/>
      <c r="P308" s="245"/>
    </row>
    <row r="309" spans="2:16" hidden="1">
      <c r="B309" s="238" t="s">
        <v>109</v>
      </c>
      <c r="C309" s="238" t="s">
        <v>80</v>
      </c>
      <c r="D309" s="238" t="s">
        <v>247</v>
      </c>
      <c r="E309" s="238" t="s">
        <v>354</v>
      </c>
      <c r="F309" s="243" t="str">
        <f t="shared" si="20"/>
        <v>2010-11 - Alkalis</v>
      </c>
      <c r="G309" s="244">
        <v>34.56</v>
      </c>
      <c r="H309" s="244" t="s">
        <v>218</v>
      </c>
      <c r="I309" s="244">
        <v>0</v>
      </c>
      <c r="J309" s="244">
        <v>0</v>
      </c>
      <c r="K309" s="244">
        <v>0</v>
      </c>
      <c r="L309" s="244">
        <v>1.21</v>
      </c>
      <c r="M309" s="244">
        <v>0</v>
      </c>
      <c r="N309" s="244">
        <v>2.2200000000000002</v>
      </c>
      <c r="O309" s="244"/>
      <c r="P309" s="245"/>
    </row>
    <row r="310" spans="2:16">
      <c r="B310" s="238" t="s">
        <v>109</v>
      </c>
      <c r="C310" s="238" t="s">
        <v>80</v>
      </c>
      <c r="D310" s="238" t="s">
        <v>159</v>
      </c>
      <c r="E310" s="238" t="s">
        <v>355</v>
      </c>
      <c r="F310" s="243" t="str">
        <f t="shared" si="20"/>
        <v>2010-11 - Inorganic chemicals</v>
      </c>
      <c r="G310" s="244">
        <v>11552.13</v>
      </c>
      <c r="H310" s="244" t="s">
        <v>218</v>
      </c>
      <c r="I310" s="244">
        <v>0</v>
      </c>
      <c r="J310" s="244">
        <v>2607.86</v>
      </c>
      <c r="K310" s="244">
        <v>3511.33</v>
      </c>
      <c r="L310" s="244">
        <v>2682.38</v>
      </c>
      <c r="M310" s="244">
        <v>0</v>
      </c>
      <c r="N310" s="244">
        <v>363.39</v>
      </c>
      <c r="O310" s="244"/>
      <c r="P310" s="245"/>
    </row>
    <row r="311" spans="2:16" hidden="1">
      <c r="B311" s="238" t="s">
        <v>109</v>
      </c>
      <c r="C311" s="238" t="s">
        <v>80</v>
      </c>
      <c r="D311" s="238" t="s">
        <v>356</v>
      </c>
      <c r="E311" s="238" t="s">
        <v>357</v>
      </c>
      <c r="F311" s="243" t="str">
        <f t="shared" si="20"/>
        <v>2010-11 - Reactive chemicals</v>
      </c>
      <c r="G311" s="244">
        <v>1.79</v>
      </c>
      <c r="H311" s="244" t="s">
        <v>218</v>
      </c>
      <c r="I311" s="244">
        <v>0</v>
      </c>
      <c r="J311" s="244">
        <v>0</v>
      </c>
      <c r="K311" s="244">
        <v>0</v>
      </c>
      <c r="L311" s="244">
        <v>0</v>
      </c>
      <c r="M311" s="244">
        <v>0</v>
      </c>
      <c r="N311" s="244">
        <v>0.21</v>
      </c>
      <c r="O311" s="244"/>
      <c r="P311" s="245"/>
    </row>
    <row r="312" spans="2:16" hidden="1">
      <c r="B312" s="238" t="s">
        <v>109</v>
      </c>
      <c r="C312" s="238" t="s">
        <v>80</v>
      </c>
      <c r="D312" s="238" t="s">
        <v>161</v>
      </c>
      <c r="E312" s="238" t="s">
        <v>358</v>
      </c>
      <c r="F312" s="243" t="str">
        <f t="shared" si="20"/>
        <v>2010-11 - Paints, resins, inks organic sludges</v>
      </c>
      <c r="G312" s="244">
        <v>2170.5500000000002</v>
      </c>
      <c r="H312" s="244" t="s">
        <v>218</v>
      </c>
      <c r="I312" s="244">
        <v>540.27</v>
      </c>
      <c r="J312" s="244">
        <v>216.48</v>
      </c>
      <c r="K312" s="244">
        <v>25.56</v>
      </c>
      <c r="L312" s="244">
        <v>0.14000000000000001</v>
      </c>
      <c r="M312" s="244">
        <v>0</v>
      </c>
      <c r="N312" s="244">
        <v>0</v>
      </c>
      <c r="O312" s="244"/>
      <c r="P312" s="245"/>
    </row>
    <row r="313" spans="2:16" hidden="1">
      <c r="B313" s="238" t="s">
        <v>109</v>
      </c>
      <c r="C313" s="238" t="s">
        <v>80</v>
      </c>
      <c r="D313" s="238" t="s">
        <v>219</v>
      </c>
      <c r="E313" s="238" t="s">
        <v>359</v>
      </c>
      <c r="F313" s="243" t="str">
        <f t="shared" si="20"/>
        <v>2010-11 - Organic solvents</v>
      </c>
      <c r="G313" s="244">
        <v>1172.1500000000001</v>
      </c>
      <c r="H313" s="244" t="s">
        <v>218</v>
      </c>
      <c r="I313" s="244">
        <v>27.1</v>
      </c>
      <c r="J313" s="244">
        <v>98.7</v>
      </c>
      <c r="K313" s="244">
        <v>138.22</v>
      </c>
      <c r="L313" s="244">
        <v>366.82</v>
      </c>
      <c r="M313" s="244">
        <v>1.7</v>
      </c>
      <c r="N313" s="244">
        <v>7.0000000000000007E-2</v>
      </c>
      <c r="O313" s="244"/>
      <c r="P313" s="245"/>
    </row>
    <row r="314" spans="2:16" hidden="1">
      <c r="B314" s="238" t="s">
        <v>109</v>
      </c>
      <c r="C314" s="238" t="s">
        <v>80</v>
      </c>
      <c r="D314" s="238" t="s">
        <v>228</v>
      </c>
      <c r="E314" s="238" t="s">
        <v>360</v>
      </c>
      <c r="F314" s="243" t="str">
        <f t="shared" si="20"/>
        <v>2010-11 - Pesticides</v>
      </c>
      <c r="G314" s="244">
        <v>48.69</v>
      </c>
      <c r="H314" s="244" t="s">
        <v>218</v>
      </c>
      <c r="I314" s="244">
        <v>572.07000000000005</v>
      </c>
      <c r="J314" s="244">
        <v>34.29</v>
      </c>
      <c r="K314" s="244">
        <v>11.48</v>
      </c>
      <c r="L314" s="244">
        <v>0.16</v>
      </c>
      <c r="M314" s="244">
        <v>0</v>
      </c>
      <c r="N314" s="244">
        <v>11.85</v>
      </c>
      <c r="O314" s="244"/>
      <c r="P314" s="245"/>
    </row>
    <row r="315" spans="2:16" hidden="1">
      <c r="B315" s="238" t="s">
        <v>109</v>
      </c>
      <c r="C315" s="238" t="s">
        <v>80</v>
      </c>
      <c r="D315" s="238" t="s">
        <v>231</v>
      </c>
      <c r="E315" s="238" t="s">
        <v>361</v>
      </c>
      <c r="F315" s="243" t="str">
        <f t="shared" si="20"/>
        <v>2010-11 - Oils</v>
      </c>
      <c r="G315" s="244">
        <v>3441.3</v>
      </c>
      <c r="H315" s="244" t="s">
        <v>218</v>
      </c>
      <c r="I315" s="244">
        <v>1768.79</v>
      </c>
      <c r="J315" s="244">
        <v>34.200000000000003</v>
      </c>
      <c r="K315" s="244">
        <v>45.85</v>
      </c>
      <c r="L315" s="244">
        <v>149.21</v>
      </c>
      <c r="M315" s="244">
        <v>0</v>
      </c>
      <c r="N315" s="244">
        <v>0</v>
      </c>
      <c r="O315" s="244"/>
      <c r="P315" s="245"/>
    </row>
    <row r="316" spans="2:16" hidden="1">
      <c r="B316" s="238" t="s">
        <v>109</v>
      </c>
      <c r="C316" s="238" t="s">
        <v>80</v>
      </c>
      <c r="D316" s="238" t="s">
        <v>362</v>
      </c>
      <c r="E316" s="238" t="s">
        <v>363</v>
      </c>
      <c r="F316" s="243" t="str">
        <f t="shared" si="20"/>
        <v>2010-11 - Putrescible/organic waste</v>
      </c>
      <c r="G316" s="244">
        <v>2760.97</v>
      </c>
      <c r="H316" s="244" t="s">
        <v>218</v>
      </c>
      <c r="I316" s="244">
        <v>22.2</v>
      </c>
      <c r="J316" s="244">
        <v>0</v>
      </c>
      <c r="K316" s="244">
        <v>4.5</v>
      </c>
      <c r="L316" s="244">
        <v>0</v>
      </c>
      <c r="M316" s="244">
        <v>0</v>
      </c>
      <c r="N316" s="244">
        <v>0</v>
      </c>
      <c r="O316" s="244"/>
      <c r="P316" s="245"/>
    </row>
    <row r="317" spans="2:16" hidden="1">
      <c r="B317" s="238" t="s">
        <v>109</v>
      </c>
      <c r="C317" s="238" t="s">
        <v>80</v>
      </c>
      <c r="D317" s="238" t="s">
        <v>364</v>
      </c>
      <c r="E317" s="238" t="s">
        <v>365</v>
      </c>
      <c r="F317" s="243" t="str">
        <f t="shared" si="20"/>
        <v>2010-11 - Industrial washwater</v>
      </c>
      <c r="G317" s="244">
        <v>116.91</v>
      </c>
      <c r="H317" s="244" t="s">
        <v>218</v>
      </c>
      <c r="I317" s="244">
        <v>0</v>
      </c>
      <c r="J317" s="244">
        <v>0</v>
      </c>
      <c r="K317" s="244">
        <v>3</v>
      </c>
      <c r="L317" s="244">
        <v>0</v>
      </c>
      <c r="M317" s="244">
        <v>0</v>
      </c>
      <c r="N317" s="244">
        <v>0</v>
      </c>
      <c r="O317" s="244"/>
      <c r="P317" s="245"/>
    </row>
    <row r="318" spans="2:16" hidden="1">
      <c r="B318" s="238" t="s">
        <v>109</v>
      </c>
      <c r="C318" s="238" t="s">
        <v>80</v>
      </c>
      <c r="D318" s="238" t="s">
        <v>235</v>
      </c>
      <c r="E318" s="238" t="s">
        <v>366</v>
      </c>
      <c r="F318" s="243" t="str">
        <f t="shared" si="20"/>
        <v>2010-11 - Organic chemicals</v>
      </c>
      <c r="G318" s="244">
        <v>8</v>
      </c>
      <c r="H318" s="244" t="s">
        <v>218</v>
      </c>
      <c r="I318" s="244">
        <v>0</v>
      </c>
      <c r="J318" s="244">
        <v>4</v>
      </c>
      <c r="K318" s="244">
        <v>1.1499999999999999</v>
      </c>
      <c r="L318" s="244">
        <v>36.75</v>
      </c>
      <c r="M318" s="244">
        <v>0</v>
      </c>
      <c r="N318" s="244">
        <v>7.73</v>
      </c>
      <c r="O318" s="244"/>
      <c r="P318" s="245"/>
    </row>
    <row r="319" spans="2:16" hidden="1">
      <c r="B319" s="238" t="s">
        <v>109</v>
      </c>
      <c r="C319" s="238" t="s">
        <v>80</v>
      </c>
      <c r="D319" s="238" t="s">
        <v>367</v>
      </c>
      <c r="E319" s="238" t="s">
        <v>368</v>
      </c>
      <c r="F319" s="243" t="str">
        <f t="shared" si="20"/>
        <v>2010-11 - Soil/sludge</v>
      </c>
      <c r="G319" s="244">
        <v>102.18</v>
      </c>
      <c r="H319" s="244" t="s">
        <v>218</v>
      </c>
      <c r="I319" s="244">
        <v>0.9</v>
      </c>
      <c r="J319" s="244">
        <v>0</v>
      </c>
      <c r="K319" s="244">
        <v>54.14</v>
      </c>
      <c r="L319" s="244">
        <v>13.2</v>
      </c>
      <c r="M319" s="244">
        <v>0</v>
      </c>
      <c r="N319" s="244">
        <v>0</v>
      </c>
      <c r="O319" s="244"/>
      <c r="P319" s="245"/>
    </row>
    <row r="320" spans="2:16" hidden="1">
      <c r="B320" s="238" t="s">
        <v>109</v>
      </c>
      <c r="C320" s="238" t="s">
        <v>80</v>
      </c>
      <c r="D320" s="238" t="s">
        <v>216</v>
      </c>
      <c r="E320" s="238" t="s">
        <v>369</v>
      </c>
      <c r="F320" s="243" t="str">
        <f t="shared" si="20"/>
        <v>2010-11 - Clinical &amp; pharmaceutical</v>
      </c>
      <c r="G320" s="244">
        <v>304.48</v>
      </c>
      <c r="H320" s="244" t="s">
        <v>218</v>
      </c>
      <c r="I320" s="244">
        <v>59.86</v>
      </c>
      <c r="J320" s="244">
        <v>0</v>
      </c>
      <c r="K320" s="244">
        <v>333.01</v>
      </c>
      <c r="L320" s="244">
        <v>0.06</v>
      </c>
      <c r="M320" s="244">
        <v>0</v>
      </c>
      <c r="N320" s="244">
        <v>0</v>
      </c>
      <c r="O320" s="244"/>
      <c r="P320" s="245"/>
    </row>
    <row r="321" spans="2:16" hidden="1">
      <c r="B321" s="238" t="s">
        <v>109</v>
      </c>
      <c r="C321" s="238" t="s">
        <v>80</v>
      </c>
      <c r="D321" s="238" t="s">
        <v>370</v>
      </c>
      <c r="E321" s="238" t="s">
        <v>371</v>
      </c>
      <c r="F321" s="243" t="str">
        <f t="shared" si="20"/>
        <v>2010-11 - Misc.</v>
      </c>
      <c r="G321" s="244">
        <v>74.69</v>
      </c>
      <c r="H321" s="244" t="s">
        <v>218</v>
      </c>
      <c r="I321" s="244">
        <v>24.57</v>
      </c>
      <c r="J321" s="244">
        <v>0</v>
      </c>
      <c r="K321" s="244">
        <v>0</v>
      </c>
      <c r="L321" s="244">
        <v>11.55</v>
      </c>
      <c r="M321" s="244">
        <v>0.2</v>
      </c>
      <c r="N321" s="244">
        <v>0</v>
      </c>
      <c r="O321" s="244"/>
      <c r="P321" s="245"/>
    </row>
    <row r="322" spans="2:16" hidden="1">
      <c r="B322" s="238" t="s">
        <v>109</v>
      </c>
      <c r="C322" s="238" t="s">
        <v>81</v>
      </c>
      <c r="D322" s="238" t="s">
        <v>157</v>
      </c>
      <c r="E322" s="238" t="s">
        <v>352</v>
      </c>
      <c r="F322" s="243" t="str">
        <f t="shared" si="20"/>
        <v>2009-10 - Plating &amp; heat treatment</v>
      </c>
      <c r="G322" s="244"/>
      <c r="H322" s="244" t="s">
        <v>218</v>
      </c>
      <c r="I322" s="244"/>
      <c r="J322" s="244"/>
      <c r="K322" s="244"/>
      <c r="L322" s="244"/>
      <c r="M322" s="244"/>
      <c r="N322" s="244"/>
      <c r="O322" s="244"/>
      <c r="P322" s="245"/>
    </row>
    <row r="323" spans="2:16" hidden="1">
      <c r="B323" s="238" t="s">
        <v>109</v>
      </c>
      <c r="C323" s="238" t="s">
        <v>81</v>
      </c>
      <c r="D323" s="238" t="s">
        <v>186</v>
      </c>
      <c r="E323" s="238" t="s">
        <v>353</v>
      </c>
      <c r="F323" s="243" t="str">
        <f t="shared" si="20"/>
        <v>2009-10 - Acids</v>
      </c>
      <c r="G323" s="244">
        <v>227</v>
      </c>
      <c r="H323" s="244" t="s">
        <v>218</v>
      </c>
      <c r="I323" s="244">
        <v>23</v>
      </c>
      <c r="J323" s="244">
        <v>674</v>
      </c>
      <c r="K323" s="244">
        <v>52</v>
      </c>
      <c r="L323" s="244">
        <v>8</v>
      </c>
      <c r="M323" s="244">
        <v>2</v>
      </c>
      <c r="N323" s="244"/>
      <c r="O323" s="244"/>
      <c r="P323" s="245"/>
    </row>
    <row r="324" spans="2:16" hidden="1">
      <c r="B324" s="238" t="s">
        <v>109</v>
      </c>
      <c r="C324" s="238" t="s">
        <v>81</v>
      </c>
      <c r="D324" s="238" t="s">
        <v>247</v>
      </c>
      <c r="E324" s="238" t="s">
        <v>354</v>
      </c>
      <c r="F324" s="243" t="str">
        <f t="shared" si="20"/>
        <v>2009-10 - Alkalis</v>
      </c>
      <c r="G324" s="244">
        <v>402</v>
      </c>
      <c r="H324" s="244" t="s">
        <v>218</v>
      </c>
      <c r="I324" s="244"/>
      <c r="J324" s="244"/>
      <c r="K324" s="244"/>
      <c r="L324" s="244"/>
      <c r="M324" s="244"/>
      <c r="N324" s="244"/>
      <c r="O324" s="244"/>
      <c r="P324" s="245"/>
    </row>
    <row r="325" spans="2:16">
      <c r="B325" s="238" t="s">
        <v>109</v>
      </c>
      <c r="C325" s="238" t="s">
        <v>81</v>
      </c>
      <c r="D325" s="238" t="s">
        <v>159</v>
      </c>
      <c r="E325" s="238" t="s">
        <v>355</v>
      </c>
      <c r="F325" s="243" t="str">
        <f t="shared" si="20"/>
        <v>2009-10 - Inorganic chemicals</v>
      </c>
      <c r="G325" s="244">
        <v>12026</v>
      </c>
      <c r="H325" s="244" t="s">
        <v>218</v>
      </c>
      <c r="I325" s="244"/>
      <c r="J325" s="244">
        <v>3380</v>
      </c>
      <c r="K325" s="244">
        <v>4905</v>
      </c>
      <c r="L325" s="244">
        <v>4659</v>
      </c>
      <c r="M325" s="244"/>
      <c r="N325" s="244">
        <v>838</v>
      </c>
      <c r="O325" s="244"/>
      <c r="P325" s="245"/>
    </row>
    <row r="326" spans="2:16" hidden="1">
      <c r="B326" s="238" t="s">
        <v>109</v>
      </c>
      <c r="C326" s="238" t="s">
        <v>81</v>
      </c>
      <c r="D326" s="238" t="s">
        <v>356</v>
      </c>
      <c r="E326" s="238" t="s">
        <v>357</v>
      </c>
      <c r="F326" s="243" t="str">
        <f t="shared" si="20"/>
        <v>2009-10 - Reactive chemicals</v>
      </c>
      <c r="G326" s="244"/>
      <c r="H326" s="244" t="s">
        <v>218</v>
      </c>
      <c r="I326" s="244"/>
      <c r="J326" s="244"/>
      <c r="K326" s="244"/>
      <c r="L326" s="244"/>
      <c r="M326" s="244"/>
      <c r="N326" s="244"/>
      <c r="O326" s="244"/>
      <c r="P326" s="245"/>
    </row>
    <row r="327" spans="2:16" hidden="1">
      <c r="B327" s="238" t="s">
        <v>109</v>
      </c>
      <c r="C327" s="238" t="s">
        <v>81</v>
      </c>
      <c r="D327" s="238" t="s">
        <v>161</v>
      </c>
      <c r="E327" s="238" t="s">
        <v>358</v>
      </c>
      <c r="F327" s="243" t="str">
        <f t="shared" si="20"/>
        <v>2009-10 - Paints, resins, inks organic sludges</v>
      </c>
      <c r="G327" s="244">
        <v>2462</v>
      </c>
      <c r="H327" s="244" t="s">
        <v>218</v>
      </c>
      <c r="I327" s="244">
        <v>879</v>
      </c>
      <c r="J327" s="244">
        <v>181</v>
      </c>
      <c r="K327" s="244">
        <v>145</v>
      </c>
      <c r="L327" s="244">
        <v>4</v>
      </c>
      <c r="M327" s="244"/>
      <c r="N327" s="244">
        <v>2</v>
      </c>
      <c r="O327" s="244"/>
      <c r="P327" s="245"/>
    </row>
    <row r="328" spans="2:16" hidden="1">
      <c r="B328" s="238" t="s">
        <v>109</v>
      </c>
      <c r="C328" s="238" t="s">
        <v>81</v>
      </c>
      <c r="D328" s="238" t="s">
        <v>219</v>
      </c>
      <c r="E328" s="238" t="s">
        <v>359</v>
      </c>
      <c r="F328" s="243" t="str">
        <f t="shared" si="20"/>
        <v>2009-10 - Organic solvents</v>
      </c>
      <c r="G328" s="244">
        <v>2100</v>
      </c>
      <c r="H328" s="244" t="s">
        <v>218</v>
      </c>
      <c r="I328" s="244">
        <v>81</v>
      </c>
      <c r="J328" s="244"/>
      <c r="K328" s="244">
        <v>145</v>
      </c>
      <c r="L328" s="244">
        <v>737</v>
      </c>
      <c r="M328" s="244">
        <v>9</v>
      </c>
      <c r="N328" s="244"/>
      <c r="O328" s="244"/>
      <c r="P328" s="245"/>
    </row>
    <row r="329" spans="2:16" hidden="1">
      <c r="B329" s="238" t="s">
        <v>109</v>
      </c>
      <c r="C329" s="238" t="s">
        <v>81</v>
      </c>
      <c r="D329" s="238" t="s">
        <v>228</v>
      </c>
      <c r="E329" s="238" t="s">
        <v>360</v>
      </c>
      <c r="F329" s="243" t="str">
        <f t="shared" si="20"/>
        <v>2009-10 - Pesticides</v>
      </c>
      <c r="G329" s="244">
        <v>87</v>
      </c>
      <c r="H329" s="244" t="s">
        <v>218</v>
      </c>
      <c r="I329" s="244">
        <v>650</v>
      </c>
      <c r="J329" s="244">
        <v>10</v>
      </c>
      <c r="K329" s="244">
        <v>13</v>
      </c>
      <c r="L329" s="244">
        <v>4</v>
      </c>
      <c r="M329" s="244"/>
      <c r="N329" s="244">
        <v>6</v>
      </c>
      <c r="O329" s="244"/>
      <c r="P329" s="245"/>
    </row>
    <row r="330" spans="2:16" hidden="1">
      <c r="B330" s="238" t="s">
        <v>109</v>
      </c>
      <c r="C330" s="238" t="s">
        <v>81</v>
      </c>
      <c r="D330" s="238" t="s">
        <v>231</v>
      </c>
      <c r="E330" s="238" t="s">
        <v>361</v>
      </c>
      <c r="F330" s="243" t="str">
        <f t="shared" si="20"/>
        <v>2009-10 - Oils</v>
      </c>
      <c r="G330" s="244">
        <v>2350</v>
      </c>
      <c r="H330" s="244" t="s">
        <v>218</v>
      </c>
      <c r="I330" s="244">
        <v>1677</v>
      </c>
      <c r="J330" s="244">
        <v>0</v>
      </c>
      <c r="K330" s="244">
        <v>53</v>
      </c>
      <c r="L330" s="244">
        <v>226</v>
      </c>
      <c r="M330" s="244"/>
      <c r="N330" s="244"/>
      <c r="O330" s="244"/>
      <c r="P330" s="245"/>
    </row>
    <row r="331" spans="2:16" hidden="1">
      <c r="B331" s="238" t="s">
        <v>109</v>
      </c>
      <c r="C331" s="238" t="s">
        <v>81</v>
      </c>
      <c r="D331" s="238" t="s">
        <v>362</v>
      </c>
      <c r="E331" s="238" t="s">
        <v>363</v>
      </c>
      <c r="F331" s="243" t="str">
        <f t="shared" si="20"/>
        <v>2009-10 - Putrescible/organic waste</v>
      </c>
      <c r="G331" s="244">
        <v>3523</v>
      </c>
      <c r="H331" s="244" t="s">
        <v>218</v>
      </c>
      <c r="I331" s="244"/>
      <c r="J331" s="244">
        <v>9</v>
      </c>
      <c r="K331" s="244">
        <v>2</v>
      </c>
      <c r="L331" s="244">
        <v>24</v>
      </c>
      <c r="M331" s="244"/>
      <c r="N331" s="244"/>
      <c r="O331" s="244"/>
      <c r="P331" s="245"/>
    </row>
    <row r="332" spans="2:16" hidden="1">
      <c r="B332" s="238" t="s">
        <v>109</v>
      </c>
      <c r="C332" s="238" t="s">
        <v>81</v>
      </c>
      <c r="D332" s="238" t="s">
        <v>364</v>
      </c>
      <c r="E332" s="238" t="s">
        <v>365</v>
      </c>
      <c r="F332" s="243" t="str">
        <f t="shared" si="20"/>
        <v>2009-10 - Industrial washwater</v>
      </c>
      <c r="G332" s="244">
        <v>69</v>
      </c>
      <c r="H332" s="244" t="s">
        <v>218</v>
      </c>
      <c r="I332" s="244">
        <v>20</v>
      </c>
      <c r="J332" s="244"/>
      <c r="K332" s="244"/>
      <c r="L332" s="244"/>
      <c r="M332" s="244"/>
      <c r="N332" s="244"/>
      <c r="O332" s="244"/>
      <c r="P332" s="245"/>
    </row>
    <row r="333" spans="2:16" hidden="1">
      <c r="B333" s="238" t="s">
        <v>109</v>
      </c>
      <c r="C333" s="238" t="s">
        <v>81</v>
      </c>
      <c r="D333" s="238" t="s">
        <v>235</v>
      </c>
      <c r="E333" s="238" t="s">
        <v>366</v>
      </c>
      <c r="F333" s="243" t="str">
        <f t="shared" si="20"/>
        <v>2009-10 - Organic chemicals</v>
      </c>
      <c r="G333" s="244">
        <v>9</v>
      </c>
      <c r="H333" s="244" t="s">
        <v>218</v>
      </c>
      <c r="I333" s="244">
        <v>156</v>
      </c>
      <c r="J333" s="244"/>
      <c r="K333" s="244">
        <v>11</v>
      </c>
      <c r="L333" s="244">
        <v>46</v>
      </c>
      <c r="M333" s="244">
        <v>67</v>
      </c>
      <c r="N333" s="244"/>
      <c r="O333" s="244"/>
      <c r="P333" s="245"/>
    </row>
    <row r="334" spans="2:16" hidden="1">
      <c r="B334" s="238" t="s">
        <v>109</v>
      </c>
      <c r="C334" s="238" t="s">
        <v>81</v>
      </c>
      <c r="D334" s="238" t="s">
        <v>367</v>
      </c>
      <c r="E334" s="238" t="s">
        <v>368</v>
      </c>
      <c r="F334" s="243" t="str">
        <f t="shared" si="20"/>
        <v>2009-10 - Soil/sludge</v>
      </c>
      <c r="G334" s="244">
        <v>349</v>
      </c>
      <c r="H334" s="244" t="s">
        <v>218</v>
      </c>
      <c r="I334" s="244">
        <v>22</v>
      </c>
      <c r="J334" s="244">
        <v>37</v>
      </c>
      <c r="K334" s="244">
        <v>1</v>
      </c>
      <c r="L334" s="244">
        <v>23</v>
      </c>
      <c r="M334" s="244"/>
      <c r="N334" s="244"/>
      <c r="O334" s="244"/>
      <c r="P334" s="245"/>
    </row>
    <row r="335" spans="2:16" hidden="1">
      <c r="B335" s="238" t="s">
        <v>109</v>
      </c>
      <c r="C335" s="238" t="s">
        <v>81</v>
      </c>
      <c r="D335" s="238" t="s">
        <v>216</v>
      </c>
      <c r="E335" s="238" t="s">
        <v>369</v>
      </c>
      <c r="F335" s="243" t="str">
        <f t="shared" si="20"/>
        <v>2009-10 - Clinical &amp; pharmaceutical</v>
      </c>
      <c r="G335" s="244">
        <v>95</v>
      </c>
      <c r="H335" s="244" t="s">
        <v>218</v>
      </c>
      <c r="I335" s="244">
        <v>4</v>
      </c>
      <c r="J335" s="244">
        <v>86</v>
      </c>
      <c r="K335" s="244">
        <v>147</v>
      </c>
      <c r="L335" s="244">
        <v>34</v>
      </c>
      <c r="M335" s="244"/>
      <c r="N335" s="244"/>
      <c r="O335" s="244"/>
      <c r="P335" s="245"/>
    </row>
    <row r="336" spans="2:16" hidden="1">
      <c r="B336" s="238" t="s">
        <v>109</v>
      </c>
      <c r="C336" s="238" t="s">
        <v>81</v>
      </c>
      <c r="D336" s="238" t="s">
        <v>370</v>
      </c>
      <c r="E336" s="238" t="s">
        <v>371</v>
      </c>
      <c r="F336" s="243" t="str">
        <f t="shared" si="20"/>
        <v>2009-10 - Misc.</v>
      </c>
      <c r="G336" s="244">
        <v>1</v>
      </c>
      <c r="H336" s="244" t="s">
        <v>218</v>
      </c>
      <c r="I336" s="244">
        <v>46</v>
      </c>
      <c r="J336" s="244"/>
      <c r="K336" s="244"/>
      <c r="L336" s="244">
        <v>11</v>
      </c>
      <c r="M336" s="244">
        <v>1</v>
      </c>
      <c r="N336" s="244"/>
      <c r="O336" s="244">
        <v>0.25</v>
      </c>
      <c r="P336" s="245"/>
    </row>
    <row r="337" spans="2:16" hidden="1">
      <c r="B337" s="238" t="s">
        <v>109</v>
      </c>
      <c r="C337" s="238" t="s">
        <v>82</v>
      </c>
      <c r="D337" s="238" t="s">
        <v>157</v>
      </c>
      <c r="E337" s="238" t="s">
        <v>352</v>
      </c>
      <c r="F337" s="243" t="str">
        <f t="shared" si="20"/>
        <v>2008-09 - Plating &amp; heat treatment</v>
      </c>
      <c r="G337" s="244"/>
      <c r="H337" s="244" t="s">
        <v>218</v>
      </c>
      <c r="I337" s="244"/>
      <c r="J337" s="244"/>
      <c r="K337" s="244"/>
      <c r="L337" s="244"/>
      <c r="M337" s="244"/>
      <c r="N337" s="244"/>
      <c r="O337" s="244"/>
      <c r="P337" s="245"/>
    </row>
    <row r="338" spans="2:16" hidden="1">
      <c r="B338" s="238" t="s">
        <v>109</v>
      </c>
      <c r="C338" s="238" t="s">
        <v>82</v>
      </c>
      <c r="D338" s="238" t="s">
        <v>186</v>
      </c>
      <c r="E338" s="238" t="s">
        <v>353</v>
      </c>
      <c r="F338" s="243" t="str">
        <f t="shared" si="20"/>
        <v>2008-09 - Acids</v>
      </c>
      <c r="G338" s="244">
        <v>455.38</v>
      </c>
      <c r="H338" s="244" t="s">
        <v>218</v>
      </c>
      <c r="I338" s="244">
        <v>3.09</v>
      </c>
      <c r="J338" s="244"/>
      <c r="K338" s="244"/>
      <c r="L338" s="244">
        <v>8.2100000000000009</v>
      </c>
      <c r="M338" s="244"/>
      <c r="N338" s="244"/>
      <c r="O338" s="244"/>
      <c r="P338" s="245"/>
    </row>
    <row r="339" spans="2:16" hidden="1">
      <c r="B339" s="238" t="s">
        <v>109</v>
      </c>
      <c r="C339" s="238" t="s">
        <v>82</v>
      </c>
      <c r="D339" s="238" t="s">
        <v>247</v>
      </c>
      <c r="E339" s="238" t="s">
        <v>354</v>
      </c>
      <c r="F339" s="243" t="str">
        <f t="shared" si="20"/>
        <v>2008-09 - Alkalis</v>
      </c>
      <c r="G339" s="244">
        <v>521.26</v>
      </c>
      <c r="H339" s="244" t="s">
        <v>218</v>
      </c>
      <c r="I339" s="244">
        <v>1.7</v>
      </c>
      <c r="J339" s="244"/>
      <c r="K339" s="244"/>
      <c r="L339" s="244">
        <v>0.32</v>
      </c>
      <c r="M339" s="244"/>
      <c r="N339" s="244"/>
      <c r="O339" s="244"/>
      <c r="P339" s="245"/>
    </row>
    <row r="340" spans="2:16">
      <c r="B340" s="238" t="s">
        <v>109</v>
      </c>
      <c r="C340" s="238" t="s">
        <v>82</v>
      </c>
      <c r="D340" s="238" t="s">
        <v>159</v>
      </c>
      <c r="E340" s="238" t="s">
        <v>355</v>
      </c>
      <c r="F340" s="243" t="str">
        <f t="shared" si="20"/>
        <v>2008-09 - Inorganic chemicals</v>
      </c>
      <c r="G340" s="244">
        <v>14206.24</v>
      </c>
      <c r="H340" s="244" t="s">
        <v>218</v>
      </c>
      <c r="I340" s="244">
        <v>293.25</v>
      </c>
      <c r="J340" s="244">
        <v>2746.48</v>
      </c>
      <c r="K340" s="244">
        <v>2932.47</v>
      </c>
      <c r="L340" s="244">
        <v>2980.73</v>
      </c>
      <c r="M340" s="244"/>
      <c r="N340" s="244">
        <v>876.76</v>
      </c>
      <c r="O340" s="244"/>
      <c r="P340" s="245"/>
    </row>
    <row r="341" spans="2:16" hidden="1">
      <c r="B341" s="238" t="s">
        <v>109</v>
      </c>
      <c r="C341" s="238" t="s">
        <v>82</v>
      </c>
      <c r="D341" s="238" t="s">
        <v>356</v>
      </c>
      <c r="E341" s="238" t="s">
        <v>357</v>
      </c>
      <c r="F341" s="243" t="str">
        <f t="shared" si="20"/>
        <v>2008-09 - Reactive chemicals</v>
      </c>
      <c r="G341" s="244">
        <v>1.45</v>
      </c>
      <c r="H341" s="244" t="s">
        <v>218</v>
      </c>
      <c r="I341" s="244">
        <v>0.6</v>
      </c>
      <c r="J341" s="244"/>
      <c r="K341" s="244"/>
      <c r="L341" s="244">
        <v>0.11</v>
      </c>
      <c r="M341" s="244"/>
      <c r="N341" s="244"/>
      <c r="O341" s="244"/>
      <c r="P341" s="245"/>
    </row>
    <row r="342" spans="2:16" hidden="1">
      <c r="B342" s="238" t="s">
        <v>109</v>
      </c>
      <c r="C342" s="238" t="s">
        <v>82</v>
      </c>
      <c r="D342" s="238" t="s">
        <v>161</v>
      </c>
      <c r="E342" s="238" t="s">
        <v>358</v>
      </c>
      <c r="F342" s="243" t="str">
        <f t="shared" si="20"/>
        <v>2008-09 - Paints, resins, inks organic sludges</v>
      </c>
      <c r="G342" s="244">
        <v>2952.24</v>
      </c>
      <c r="H342" s="244" t="s">
        <v>218</v>
      </c>
      <c r="I342" s="244">
        <v>1013.09</v>
      </c>
      <c r="J342" s="244">
        <v>122.27</v>
      </c>
      <c r="K342" s="244">
        <v>122.17</v>
      </c>
      <c r="L342" s="244">
        <v>2.2000000000000002</v>
      </c>
      <c r="M342" s="244"/>
      <c r="N342" s="244"/>
      <c r="O342" s="244"/>
      <c r="P342" s="245"/>
    </row>
    <row r="343" spans="2:16" hidden="1">
      <c r="B343" s="238" t="s">
        <v>109</v>
      </c>
      <c r="C343" s="238" t="s">
        <v>82</v>
      </c>
      <c r="D343" s="238" t="s">
        <v>219</v>
      </c>
      <c r="E343" s="238" t="s">
        <v>359</v>
      </c>
      <c r="F343" s="243" t="str">
        <f t="shared" si="20"/>
        <v>2008-09 - Organic solvents</v>
      </c>
      <c r="G343" s="244">
        <v>1842.76</v>
      </c>
      <c r="H343" s="244" t="s">
        <v>218</v>
      </c>
      <c r="I343" s="244">
        <v>164.18</v>
      </c>
      <c r="J343" s="244"/>
      <c r="K343" s="244">
        <v>232.08</v>
      </c>
      <c r="L343" s="244">
        <v>984.2</v>
      </c>
      <c r="M343" s="244">
        <v>5.42</v>
      </c>
      <c r="N343" s="244"/>
      <c r="O343" s="244"/>
      <c r="P343" s="245"/>
    </row>
    <row r="344" spans="2:16" hidden="1">
      <c r="B344" s="238" t="s">
        <v>109</v>
      </c>
      <c r="C344" s="238" t="s">
        <v>82</v>
      </c>
      <c r="D344" s="238" t="s">
        <v>228</v>
      </c>
      <c r="E344" s="238" t="s">
        <v>360</v>
      </c>
      <c r="F344" s="243" t="str">
        <f t="shared" si="20"/>
        <v>2008-09 - Pesticides</v>
      </c>
      <c r="G344" s="244">
        <v>122.71</v>
      </c>
      <c r="H344" s="244" t="s">
        <v>218</v>
      </c>
      <c r="I344" s="244">
        <v>575</v>
      </c>
      <c r="J344" s="244"/>
      <c r="K344" s="244">
        <v>61.51</v>
      </c>
      <c r="L344" s="244">
        <v>9.5399999999999991</v>
      </c>
      <c r="M344" s="244"/>
      <c r="N344" s="244">
        <v>5</v>
      </c>
      <c r="O344" s="244"/>
      <c r="P344" s="245"/>
    </row>
    <row r="345" spans="2:16" hidden="1">
      <c r="B345" s="238" t="s">
        <v>109</v>
      </c>
      <c r="C345" s="238" t="s">
        <v>82</v>
      </c>
      <c r="D345" s="238" t="s">
        <v>231</v>
      </c>
      <c r="E345" s="238" t="s">
        <v>361</v>
      </c>
      <c r="F345" s="243" t="str">
        <f t="shared" si="20"/>
        <v>2008-09 - Oils</v>
      </c>
      <c r="G345" s="244">
        <v>2964.99</v>
      </c>
      <c r="H345" s="244" t="s">
        <v>218</v>
      </c>
      <c r="I345" s="244">
        <v>2104</v>
      </c>
      <c r="J345" s="244"/>
      <c r="K345" s="244">
        <v>36.64</v>
      </c>
      <c r="L345" s="244">
        <v>304.69</v>
      </c>
      <c r="M345" s="244"/>
      <c r="N345" s="244">
        <v>28</v>
      </c>
      <c r="O345" s="244"/>
      <c r="P345" s="245"/>
    </row>
    <row r="346" spans="2:16" hidden="1">
      <c r="B346" s="238" t="s">
        <v>109</v>
      </c>
      <c r="C346" s="238" t="s">
        <v>82</v>
      </c>
      <c r="D346" s="238" t="s">
        <v>362</v>
      </c>
      <c r="E346" s="238" t="s">
        <v>363</v>
      </c>
      <c r="F346" s="243" t="str">
        <f t="shared" si="20"/>
        <v>2008-09 - Putrescible/organic waste</v>
      </c>
      <c r="G346" s="244">
        <v>3145.48</v>
      </c>
      <c r="H346" s="244" t="s">
        <v>218</v>
      </c>
      <c r="I346" s="244"/>
      <c r="J346" s="244"/>
      <c r="K346" s="244"/>
      <c r="L346" s="244"/>
      <c r="M346" s="244"/>
      <c r="N346" s="244"/>
      <c r="O346" s="244"/>
      <c r="P346" s="245"/>
    </row>
    <row r="347" spans="2:16" hidden="1">
      <c r="B347" s="238" t="s">
        <v>109</v>
      </c>
      <c r="C347" s="238" t="s">
        <v>82</v>
      </c>
      <c r="D347" s="238" t="s">
        <v>364</v>
      </c>
      <c r="E347" s="238" t="s">
        <v>365</v>
      </c>
      <c r="F347" s="243" t="str">
        <f t="shared" si="20"/>
        <v>2008-09 - Industrial washwater</v>
      </c>
      <c r="G347" s="244">
        <v>114.32</v>
      </c>
      <c r="H347" s="244" t="s">
        <v>218</v>
      </c>
      <c r="I347" s="244"/>
      <c r="J347" s="244"/>
      <c r="K347" s="244"/>
      <c r="L347" s="244"/>
      <c r="M347" s="244"/>
      <c r="N347" s="244"/>
      <c r="O347" s="244"/>
      <c r="P347" s="245"/>
    </row>
    <row r="348" spans="2:16" hidden="1">
      <c r="B348" s="238" t="s">
        <v>109</v>
      </c>
      <c r="C348" s="238" t="s">
        <v>82</v>
      </c>
      <c r="D348" s="238" t="s">
        <v>235</v>
      </c>
      <c r="E348" s="238" t="s">
        <v>366</v>
      </c>
      <c r="F348" s="243" t="str">
        <f t="shared" si="20"/>
        <v>2008-09 - Organic chemicals</v>
      </c>
      <c r="G348" s="244">
        <v>43.13</v>
      </c>
      <c r="H348" s="244" t="s">
        <v>218</v>
      </c>
      <c r="I348" s="244">
        <v>32.869999999999997</v>
      </c>
      <c r="J348" s="244"/>
      <c r="K348" s="244">
        <v>32.450000000000003</v>
      </c>
      <c r="L348" s="244">
        <v>127.22</v>
      </c>
      <c r="M348" s="244"/>
      <c r="N348" s="244"/>
      <c r="O348" s="244"/>
      <c r="P348" s="245"/>
    </row>
    <row r="349" spans="2:16" hidden="1">
      <c r="B349" s="238" t="s">
        <v>109</v>
      </c>
      <c r="C349" s="238" t="s">
        <v>82</v>
      </c>
      <c r="D349" s="238" t="s">
        <v>367</v>
      </c>
      <c r="E349" s="238" t="s">
        <v>368</v>
      </c>
      <c r="F349" s="243" t="str">
        <f t="shared" si="20"/>
        <v>2008-09 - Soil/sludge</v>
      </c>
      <c r="G349" s="244">
        <v>201.27</v>
      </c>
      <c r="H349" s="244" t="s">
        <v>218</v>
      </c>
      <c r="I349" s="244"/>
      <c r="J349" s="244"/>
      <c r="K349" s="244">
        <v>1061.29</v>
      </c>
      <c r="L349" s="244">
        <v>22.16</v>
      </c>
      <c r="M349" s="244"/>
      <c r="N349" s="244"/>
      <c r="O349" s="244"/>
      <c r="P349" s="245"/>
    </row>
    <row r="350" spans="2:16" hidden="1">
      <c r="B350" s="238" t="s">
        <v>109</v>
      </c>
      <c r="C350" s="238" t="s">
        <v>82</v>
      </c>
      <c r="D350" s="238" t="s">
        <v>216</v>
      </c>
      <c r="E350" s="238" t="s">
        <v>369</v>
      </c>
      <c r="F350" s="243" t="str">
        <f t="shared" si="20"/>
        <v>2008-09 - Clinical &amp; pharmaceutical</v>
      </c>
      <c r="G350" s="244">
        <v>29.02</v>
      </c>
      <c r="H350" s="244" t="s">
        <v>218</v>
      </c>
      <c r="I350" s="244"/>
      <c r="J350" s="244">
        <v>50.62</v>
      </c>
      <c r="K350" s="244">
        <v>19.579999999999998</v>
      </c>
      <c r="L350" s="244">
        <v>18.54</v>
      </c>
      <c r="M350" s="244"/>
      <c r="N350" s="244"/>
      <c r="O350" s="244"/>
      <c r="P350" s="245"/>
    </row>
    <row r="351" spans="2:16" hidden="1">
      <c r="B351" s="238" t="s">
        <v>109</v>
      </c>
      <c r="C351" s="238" t="s">
        <v>82</v>
      </c>
      <c r="D351" s="238" t="s">
        <v>370</v>
      </c>
      <c r="E351" s="238" t="s">
        <v>371</v>
      </c>
      <c r="F351" s="243" t="str">
        <f t="shared" si="20"/>
        <v>2008-09 - Misc.</v>
      </c>
      <c r="G351" s="244">
        <v>20.49</v>
      </c>
      <c r="H351" s="244" t="s">
        <v>218</v>
      </c>
      <c r="I351" s="244">
        <v>21.76</v>
      </c>
      <c r="J351" s="244"/>
      <c r="K351" s="244">
        <v>0.73</v>
      </c>
      <c r="L351" s="244">
        <v>7.26</v>
      </c>
      <c r="M351" s="244">
        <v>1.18</v>
      </c>
      <c r="N351" s="244"/>
      <c r="O351" s="244"/>
      <c r="P351" s="245"/>
    </row>
    <row r="352" spans="2:16" hidden="1">
      <c r="B352" s="238" t="s">
        <v>109</v>
      </c>
      <c r="C352" s="238" t="s">
        <v>83</v>
      </c>
      <c r="D352" s="238" t="s">
        <v>157</v>
      </c>
      <c r="E352" s="238" t="s">
        <v>352</v>
      </c>
      <c r="F352" s="243" t="str">
        <f t="shared" si="20"/>
        <v>2007-08 - Plating &amp; heat treatment</v>
      </c>
      <c r="G352" s="244"/>
      <c r="H352" s="244" t="s">
        <v>218</v>
      </c>
      <c r="I352" s="244">
        <v>5</v>
      </c>
      <c r="J352" s="244"/>
      <c r="K352" s="244"/>
      <c r="L352" s="244"/>
      <c r="M352" s="244"/>
      <c r="N352" s="244"/>
      <c r="O352" s="244"/>
      <c r="P352" s="245"/>
    </row>
    <row r="353" spans="2:16" hidden="1">
      <c r="B353" s="238" t="s">
        <v>109</v>
      </c>
      <c r="C353" s="238" t="s">
        <v>83</v>
      </c>
      <c r="D353" s="238" t="s">
        <v>186</v>
      </c>
      <c r="E353" s="238" t="s">
        <v>353</v>
      </c>
      <c r="F353" s="243" t="str">
        <f t="shared" si="20"/>
        <v>2007-08 - Acids</v>
      </c>
      <c r="G353" s="244">
        <v>334.03</v>
      </c>
      <c r="H353" s="244" t="s">
        <v>218</v>
      </c>
      <c r="I353" s="244">
        <v>0.75</v>
      </c>
      <c r="J353" s="244"/>
      <c r="K353" s="244"/>
      <c r="L353" s="244">
        <v>20.98</v>
      </c>
      <c r="M353" s="244">
        <v>1.55</v>
      </c>
      <c r="N353" s="244"/>
      <c r="O353" s="244"/>
      <c r="P353" s="245"/>
    </row>
    <row r="354" spans="2:16" hidden="1">
      <c r="B354" s="238" t="s">
        <v>109</v>
      </c>
      <c r="C354" s="238" t="s">
        <v>83</v>
      </c>
      <c r="D354" s="238" t="s">
        <v>247</v>
      </c>
      <c r="E354" s="238" t="s">
        <v>354</v>
      </c>
      <c r="F354" s="243" t="str">
        <f t="shared" si="20"/>
        <v>2007-08 - Alkalis</v>
      </c>
      <c r="G354" s="244">
        <v>1809.92</v>
      </c>
      <c r="H354" s="244" t="s">
        <v>218</v>
      </c>
      <c r="I354" s="244"/>
      <c r="J354" s="244"/>
      <c r="K354" s="244"/>
      <c r="L354" s="244">
        <v>0.64</v>
      </c>
      <c r="M354" s="244"/>
      <c r="N354" s="244"/>
      <c r="O354" s="244"/>
      <c r="P354" s="245"/>
    </row>
    <row r="355" spans="2:16">
      <c r="B355" s="238" t="s">
        <v>109</v>
      </c>
      <c r="C355" s="238" t="s">
        <v>83</v>
      </c>
      <c r="D355" s="238" t="s">
        <v>159</v>
      </c>
      <c r="E355" s="238" t="s">
        <v>355</v>
      </c>
      <c r="F355" s="243" t="str">
        <f t="shared" si="20"/>
        <v>2007-08 - Inorganic chemicals</v>
      </c>
      <c r="G355" s="244">
        <v>15257.02</v>
      </c>
      <c r="H355" s="244" t="s">
        <v>218</v>
      </c>
      <c r="I355" s="244">
        <v>377.59</v>
      </c>
      <c r="J355" s="244">
        <v>3558.33</v>
      </c>
      <c r="K355" s="244">
        <v>10793.54</v>
      </c>
      <c r="L355" s="244">
        <v>1357.39</v>
      </c>
      <c r="M355" s="244">
        <v>0.05</v>
      </c>
      <c r="N355" s="244">
        <v>851</v>
      </c>
      <c r="O355" s="244"/>
      <c r="P355" s="245"/>
    </row>
    <row r="356" spans="2:16" hidden="1">
      <c r="B356" s="238" t="s">
        <v>109</v>
      </c>
      <c r="C356" s="238" t="s">
        <v>83</v>
      </c>
      <c r="D356" s="238" t="s">
        <v>356</v>
      </c>
      <c r="E356" s="238" t="s">
        <v>357</v>
      </c>
      <c r="F356" s="243" t="str">
        <f t="shared" si="20"/>
        <v>2007-08 - Reactive chemicals</v>
      </c>
      <c r="G356" s="244">
        <v>10.02</v>
      </c>
      <c r="H356" s="244" t="s">
        <v>218</v>
      </c>
      <c r="I356" s="244"/>
      <c r="J356" s="244"/>
      <c r="K356" s="244"/>
      <c r="L356" s="244">
        <v>0.11</v>
      </c>
      <c r="M356" s="244">
        <v>0.05</v>
      </c>
      <c r="N356" s="244"/>
      <c r="O356" s="244"/>
      <c r="P356" s="245"/>
    </row>
    <row r="357" spans="2:16" hidden="1">
      <c r="B357" s="238" t="s">
        <v>109</v>
      </c>
      <c r="C357" s="238" t="s">
        <v>83</v>
      </c>
      <c r="D357" s="238" t="s">
        <v>161</v>
      </c>
      <c r="E357" s="238" t="s">
        <v>358</v>
      </c>
      <c r="F357" s="243" t="str">
        <f t="shared" si="20"/>
        <v>2007-08 - Paints, resins, inks organic sludges</v>
      </c>
      <c r="G357" s="244">
        <v>2768.74</v>
      </c>
      <c r="H357" s="244" t="s">
        <v>218</v>
      </c>
      <c r="I357" s="244">
        <v>769.14</v>
      </c>
      <c r="J357" s="244">
        <v>140.19999999999999</v>
      </c>
      <c r="K357" s="244">
        <v>105.38</v>
      </c>
      <c r="L357" s="244">
        <v>6.28</v>
      </c>
      <c r="M357" s="244"/>
      <c r="N357" s="244"/>
      <c r="O357" s="244"/>
      <c r="P357" s="245"/>
    </row>
    <row r="358" spans="2:16" hidden="1">
      <c r="B358" s="238" t="s">
        <v>109</v>
      </c>
      <c r="C358" s="238" t="s">
        <v>83</v>
      </c>
      <c r="D358" s="238" t="s">
        <v>219</v>
      </c>
      <c r="E358" s="238" t="s">
        <v>359</v>
      </c>
      <c r="F358" s="243" t="str">
        <f t="shared" si="20"/>
        <v>2007-08 - Organic solvents</v>
      </c>
      <c r="G358" s="244">
        <v>2461.0100000000002</v>
      </c>
      <c r="H358" s="244" t="s">
        <v>218</v>
      </c>
      <c r="I358" s="244">
        <v>178.68</v>
      </c>
      <c r="J358" s="244"/>
      <c r="K358" s="244">
        <v>201.23</v>
      </c>
      <c r="L358" s="244">
        <v>764.77</v>
      </c>
      <c r="M358" s="244">
        <v>8.9700000000000006</v>
      </c>
      <c r="N358" s="244"/>
      <c r="O358" s="244"/>
      <c r="P358" s="245"/>
    </row>
    <row r="359" spans="2:16" hidden="1">
      <c r="B359" s="238" t="s">
        <v>109</v>
      </c>
      <c r="C359" s="238" t="s">
        <v>83</v>
      </c>
      <c r="D359" s="238" t="s">
        <v>228</v>
      </c>
      <c r="E359" s="238" t="s">
        <v>360</v>
      </c>
      <c r="F359" s="243" t="str">
        <f t="shared" si="20"/>
        <v>2007-08 - Pesticides</v>
      </c>
      <c r="G359" s="244">
        <v>100.16</v>
      </c>
      <c r="H359" s="244" t="s">
        <v>218</v>
      </c>
      <c r="I359" s="244">
        <v>9.94</v>
      </c>
      <c r="J359" s="244"/>
      <c r="K359" s="244">
        <v>10.31</v>
      </c>
      <c r="L359" s="244">
        <v>1.42</v>
      </c>
      <c r="M359" s="244">
        <v>0.56000000000000005</v>
      </c>
      <c r="N359" s="244"/>
      <c r="O359" s="244"/>
      <c r="P359" s="245"/>
    </row>
    <row r="360" spans="2:16" hidden="1">
      <c r="B360" s="238" t="s">
        <v>109</v>
      </c>
      <c r="C360" s="238" t="s">
        <v>83</v>
      </c>
      <c r="D360" s="238" t="s">
        <v>231</v>
      </c>
      <c r="E360" s="238" t="s">
        <v>361</v>
      </c>
      <c r="F360" s="243" t="str">
        <f t="shared" si="20"/>
        <v>2007-08 - Oils</v>
      </c>
      <c r="G360" s="244">
        <v>7623.46</v>
      </c>
      <c r="H360" s="244" t="s">
        <v>218</v>
      </c>
      <c r="I360" s="244">
        <v>2038.55</v>
      </c>
      <c r="J360" s="244"/>
      <c r="K360" s="244">
        <v>138.5</v>
      </c>
      <c r="L360" s="244">
        <v>299.29000000000002</v>
      </c>
      <c r="M360" s="244"/>
      <c r="N360" s="244">
        <v>29</v>
      </c>
      <c r="O360" s="244"/>
      <c r="P360" s="245"/>
    </row>
    <row r="361" spans="2:16" hidden="1">
      <c r="B361" s="238" t="s">
        <v>109</v>
      </c>
      <c r="C361" s="238" t="s">
        <v>83</v>
      </c>
      <c r="D361" s="238" t="s">
        <v>362</v>
      </c>
      <c r="E361" s="238" t="s">
        <v>363</v>
      </c>
      <c r="F361" s="243" t="str">
        <f t="shared" si="20"/>
        <v>2007-08 - Putrescible/organic waste</v>
      </c>
      <c r="G361" s="244">
        <v>2574.86</v>
      </c>
      <c r="H361" s="244" t="s">
        <v>218</v>
      </c>
      <c r="I361" s="244"/>
      <c r="J361" s="244"/>
      <c r="K361" s="244"/>
      <c r="L361" s="244"/>
      <c r="M361" s="244"/>
      <c r="N361" s="244"/>
      <c r="O361" s="244"/>
      <c r="P361" s="245"/>
    </row>
    <row r="362" spans="2:16" hidden="1">
      <c r="B362" s="238" t="s">
        <v>109</v>
      </c>
      <c r="C362" s="238" t="s">
        <v>83</v>
      </c>
      <c r="D362" s="238" t="s">
        <v>364</v>
      </c>
      <c r="E362" s="238" t="s">
        <v>365</v>
      </c>
      <c r="F362" s="243" t="str">
        <f t="shared" si="20"/>
        <v>2007-08 - Industrial washwater</v>
      </c>
      <c r="G362" s="244">
        <v>105.95</v>
      </c>
      <c r="H362" s="244" t="s">
        <v>218</v>
      </c>
      <c r="I362" s="244"/>
      <c r="J362" s="244"/>
      <c r="K362" s="244"/>
      <c r="L362" s="244"/>
      <c r="M362" s="244"/>
      <c r="N362" s="244"/>
      <c r="O362" s="244"/>
      <c r="P362" s="245"/>
    </row>
    <row r="363" spans="2:16" hidden="1">
      <c r="B363" s="238" t="s">
        <v>109</v>
      </c>
      <c r="C363" s="238" t="s">
        <v>83</v>
      </c>
      <c r="D363" s="238" t="s">
        <v>235</v>
      </c>
      <c r="E363" s="238" t="s">
        <v>366</v>
      </c>
      <c r="F363" s="243" t="str">
        <f t="shared" si="20"/>
        <v>2007-08 - Organic chemicals</v>
      </c>
      <c r="G363" s="244">
        <v>208.87</v>
      </c>
      <c r="H363" s="244" t="s">
        <v>218</v>
      </c>
      <c r="I363" s="244">
        <v>21.69</v>
      </c>
      <c r="J363" s="244"/>
      <c r="K363" s="244">
        <v>1.78</v>
      </c>
      <c r="L363" s="244">
        <v>64.36</v>
      </c>
      <c r="M363" s="244">
        <v>20</v>
      </c>
      <c r="N363" s="244"/>
      <c r="O363" s="244"/>
      <c r="P363" s="245"/>
    </row>
    <row r="364" spans="2:16" hidden="1">
      <c r="B364" s="238" t="s">
        <v>109</v>
      </c>
      <c r="C364" s="238" t="s">
        <v>83</v>
      </c>
      <c r="D364" s="238" t="s">
        <v>367</v>
      </c>
      <c r="E364" s="238" t="s">
        <v>368</v>
      </c>
      <c r="F364" s="243" t="str">
        <f t="shared" ref="F364:F427" si="21">CONCATENATE(C364," - ",E364)</f>
        <v>2007-08 - Soil/sludge</v>
      </c>
      <c r="G364" s="244">
        <v>1.96</v>
      </c>
      <c r="H364" s="244" t="s">
        <v>218</v>
      </c>
      <c r="I364" s="244"/>
      <c r="J364" s="244">
        <v>5.38</v>
      </c>
      <c r="K364" s="244"/>
      <c r="L364" s="244">
        <v>5.78</v>
      </c>
      <c r="M364" s="244"/>
      <c r="N364" s="244"/>
      <c r="O364" s="244"/>
      <c r="P364" s="245"/>
    </row>
    <row r="365" spans="2:16" hidden="1">
      <c r="B365" s="238" t="s">
        <v>109</v>
      </c>
      <c r="C365" s="238" t="s">
        <v>83</v>
      </c>
      <c r="D365" s="238" t="s">
        <v>216</v>
      </c>
      <c r="E365" s="238" t="s">
        <v>369</v>
      </c>
      <c r="F365" s="243" t="str">
        <f t="shared" si="21"/>
        <v>2007-08 - Clinical &amp; pharmaceutical</v>
      </c>
      <c r="G365" s="244">
        <v>162.03</v>
      </c>
      <c r="H365" s="244" t="s">
        <v>218</v>
      </c>
      <c r="I365" s="244">
        <v>0.15</v>
      </c>
      <c r="J365" s="244"/>
      <c r="K365" s="244">
        <v>30.19</v>
      </c>
      <c r="L365" s="244">
        <v>4.68</v>
      </c>
      <c r="M365" s="244"/>
      <c r="N365" s="244"/>
      <c r="O365" s="244"/>
      <c r="P365" s="245"/>
    </row>
    <row r="366" spans="2:16" hidden="1">
      <c r="B366" s="238" t="s">
        <v>109</v>
      </c>
      <c r="C366" s="238" t="s">
        <v>83</v>
      </c>
      <c r="D366" s="238" t="s">
        <v>370</v>
      </c>
      <c r="E366" s="238" t="s">
        <v>371</v>
      </c>
      <c r="F366" s="243" t="str">
        <f t="shared" si="21"/>
        <v>2007-08 - Misc.</v>
      </c>
      <c r="G366" s="244">
        <v>41.76</v>
      </c>
      <c r="H366" s="244" t="s">
        <v>218</v>
      </c>
      <c r="I366" s="244">
        <v>6.6</v>
      </c>
      <c r="J366" s="244"/>
      <c r="K366" s="244"/>
      <c r="L366" s="244">
        <v>2.69</v>
      </c>
      <c r="M366" s="244"/>
      <c r="N366" s="244"/>
      <c r="O366" s="244"/>
      <c r="P366" s="245"/>
    </row>
    <row r="367" spans="2:16" hidden="1">
      <c r="B367" s="238" t="s">
        <v>109</v>
      </c>
      <c r="C367" s="238" t="s">
        <v>86</v>
      </c>
      <c r="D367" s="238" t="s">
        <v>157</v>
      </c>
      <c r="E367" s="238" t="s">
        <v>352</v>
      </c>
      <c r="F367" s="243" t="str">
        <f t="shared" si="21"/>
        <v>2006-07 - Plating &amp; heat treatment</v>
      </c>
      <c r="G367" s="244"/>
      <c r="H367" s="244" t="s">
        <v>218</v>
      </c>
      <c r="I367" s="244"/>
      <c r="J367" s="244">
        <v>8</v>
      </c>
      <c r="K367" s="244">
        <v>0.8</v>
      </c>
      <c r="L367" s="244"/>
      <c r="M367" s="244"/>
      <c r="N367" s="244"/>
      <c r="O367" s="244"/>
      <c r="P367" s="245"/>
    </row>
    <row r="368" spans="2:16" hidden="1">
      <c r="B368" s="238" t="s">
        <v>109</v>
      </c>
      <c r="C368" s="238" t="s">
        <v>86</v>
      </c>
      <c r="D368" s="238" t="s">
        <v>186</v>
      </c>
      <c r="E368" s="238" t="s">
        <v>353</v>
      </c>
      <c r="F368" s="243" t="str">
        <f t="shared" si="21"/>
        <v>2006-07 - Acids</v>
      </c>
      <c r="G368" s="244">
        <v>406.65</v>
      </c>
      <c r="H368" s="244" t="s">
        <v>218</v>
      </c>
      <c r="I368" s="244">
        <v>0.6</v>
      </c>
      <c r="J368" s="244"/>
      <c r="K368" s="244"/>
      <c r="L368" s="244">
        <v>178.15</v>
      </c>
      <c r="M368" s="244">
        <v>2.36</v>
      </c>
      <c r="N368" s="244"/>
      <c r="O368" s="244"/>
      <c r="P368" s="245"/>
    </row>
    <row r="369" spans="2:16" hidden="1">
      <c r="B369" s="238" t="s">
        <v>109</v>
      </c>
      <c r="C369" s="238" t="s">
        <v>86</v>
      </c>
      <c r="D369" s="238" t="s">
        <v>247</v>
      </c>
      <c r="E369" s="238" t="s">
        <v>354</v>
      </c>
      <c r="F369" s="243" t="str">
        <f t="shared" si="21"/>
        <v>2006-07 - Alkalis</v>
      </c>
      <c r="G369" s="244">
        <v>1449.42</v>
      </c>
      <c r="H369" s="244" t="s">
        <v>218</v>
      </c>
      <c r="I369" s="244"/>
      <c r="J369" s="244"/>
      <c r="K369" s="244"/>
      <c r="L369" s="244"/>
      <c r="M369" s="244"/>
      <c r="N369" s="244"/>
      <c r="O369" s="244"/>
      <c r="P369" s="245"/>
    </row>
    <row r="370" spans="2:16">
      <c r="B370" s="238" t="s">
        <v>109</v>
      </c>
      <c r="C370" s="238" t="s">
        <v>86</v>
      </c>
      <c r="D370" s="238" t="s">
        <v>159</v>
      </c>
      <c r="E370" s="238" t="s">
        <v>355</v>
      </c>
      <c r="F370" s="243" t="str">
        <f t="shared" si="21"/>
        <v>2006-07 - Inorganic chemicals</v>
      </c>
      <c r="G370" s="244">
        <v>10147.23</v>
      </c>
      <c r="H370" s="244" t="s">
        <v>218</v>
      </c>
      <c r="I370" s="244">
        <v>73.62</v>
      </c>
      <c r="J370" s="244">
        <v>2811.97</v>
      </c>
      <c r="K370" s="244">
        <v>8101.6</v>
      </c>
      <c r="L370" s="244">
        <v>632.64</v>
      </c>
      <c r="M370" s="244">
        <v>23.33</v>
      </c>
      <c r="N370" s="244">
        <v>416.32</v>
      </c>
      <c r="O370" s="244"/>
      <c r="P370" s="245"/>
    </row>
    <row r="371" spans="2:16" hidden="1">
      <c r="B371" s="238" t="s">
        <v>109</v>
      </c>
      <c r="C371" s="238" t="s">
        <v>86</v>
      </c>
      <c r="D371" s="238" t="s">
        <v>356</v>
      </c>
      <c r="E371" s="238" t="s">
        <v>357</v>
      </c>
      <c r="F371" s="243" t="str">
        <f t="shared" si="21"/>
        <v>2006-07 - Reactive chemicals</v>
      </c>
      <c r="G371" s="244">
        <v>7.64</v>
      </c>
      <c r="H371" s="244" t="s">
        <v>218</v>
      </c>
      <c r="I371" s="244"/>
      <c r="J371" s="244"/>
      <c r="K371" s="244">
        <v>0.15</v>
      </c>
      <c r="L371" s="244">
        <v>0.03</v>
      </c>
      <c r="M371" s="244"/>
      <c r="N371" s="244"/>
      <c r="O371" s="244"/>
      <c r="P371" s="245"/>
    </row>
    <row r="372" spans="2:16" hidden="1">
      <c r="B372" s="238" t="s">
        <v>109</v>
      </c>
      <c r="C372" s="238" t="s">
        <v>86</v>
      </c>
      <c r="D372" s="238" t="s">
        <v>161</v>
      </c>
      <c r="E372" s="238" t="s">
        <v>358</v>
      </c>
      <c r="F372" s="243" t="str">
        <f t="shared" si="21"/>
        <v>2006-07 - Paints, resins, inks organic sludges</v>
      </c>
      <c r="G372" s="244">
        <v>2243.48</v>
      </c>
      <c r="H372" s="244" t="s">
        <v>218</v>
      </c>
      <c r="I372" s="244">
        <v>844.25</v>
      </c>
      <c r="J372" s="244">
        <v>34.299999999999997</v>
      </c>
      <c r="K372" s="244">
        <v>153.63</v>
      </c>
      <c r="L372" s="244">
        <v>2.5299999999999998</v>
      </c>
      <c r="M372" s="244"/>
      <c r="N372" s="244"/>
      <c r="O372" s="244"/>
      <c r="P372" s="245"/>
    </row>
    <row r="373" spans="2:16" hidden="1">
      <c r="B373" s="238" t="s">
        <v>109</v>
      </c>
      <c r="C373" s="238" t="s">
        <v>86</v>
      </c>
      <c r="D373" s="238" t="s">
        <v>219</v>
      </c>
      <c r="E373" s="238" t="s">
        <v>359</v>
      </c>
      <c r="F373" s="243" t="str">
        <f t="shared" si="21"/>
        <v>2006-07 - Organic solvents</v>
      </c>
      <c r="G373" s="244">
        <v>2362.64</v>
      </c>
      <c r="H373" s="244" t="s">
        <v>218</v>
      </c>
      <c r="I373" s="244">
        <v>115.35</v>
      </c>
      <c r="J373" s="244"/>
      <c r="K373" s="244">
        <v>123.42</v>
      </c>
      <c r="L373" s="244">
        <v>394.61</v>
      </c>
      <c r="M373" s="244">
        <v>6.66</v>
      </c>
      <c r="N373" s="244"/>
      <c r="O373" s="244"/>
      <c r="P373" s="245"/>
    </row>
    <row r="374" spans="2:16" hidden="1">
      <c r="B374" s="238" t="s">
        <v>109</v>
      </c>
      <c r="C374" s="238" t="s">
        <v>86</v>
      </c>
      <c r="D374" s="238" t="s">
        <v>228</v>
      </c>
      <c r="E374" s="238" t="s">
        <v>360</v>
      </c>
      <c r="F374" s="243" t="str">
        <f t="shared" si="21"/>
        <v>2006-07 - Pesticides</v>
      </c>
      <c r="G374" s="244">
        <v>94.83</v>
      </c>
      <c r="H374" s="244" t="s">
        <v>218</v>
      </c>
      <c r="I374" s="244">
        <v>44.22</v>
      </c>
      <c r="J374" s="244">
        <v>15</v>
      </c>
      <c r="K374" s="244">
        <v>37.270000000000003</v>
      </c>
      <c r="L374" s="244">
        <v>0.31</v>
      </c>
      <c r="M374" s="244"/>
      <c r="N374" s="244"/>
      <c r="O374" s="244"/>
      <c r="P374" s="245"/>
    </row>
    <row r="375" spans="2:16" hidden="1">
      <c r="B375" s="238" t="s">
        <v>109</v>
      </c>
      <c r="C375" s="238" t="s">
        <v>86</v>
      </c>
      <c r="D375" s="238" t="s">
        <v>231</v>
      </c>
      <c r="E375" s="238" t="s">
        <v>361</v>
      </c>
      <c r="F375" s="243" t="str">
        <f t="shared" si="21"/>
        <v>2006-07 - Oils</v>
      </c>
      <c r="G375" s="244">
        <v>6033.22</v>
      </c>
      <c r="H375" s="244" t="s">
        <v>218</v>
      </c>
      <c r="I375" s="244">
        <v>958.09</v>
      </c>
      <c r="J375" s="244">
        <v>16</v>
      </c>
      <c r="K375" s="244">
        <v>10.35</v>
      </c>
      <c r="L375" s="244">
        <v>679.43</v>
      </c>
      <c r="M375" s="244"/>
      <c r="N375" s="244"/>
      <c r="O375" s="244"/>
      <c r="P375" s="245"/>
    </row>
    <row r="376" spans="2:16" hidden="1">
      <c r="B376" s="238" t="s">
        <v>109</v>
      </c>
      <c r="C376" s="238" t="s">
        <v>86</v>
      </c>
      <c r="D376" s="238" t="s">
        <v>362</v>
      </c>
      <c r="E376" s="238" t="s">
        <v>363</v>
      </c>
      <c r="F376" s="243" t="str">
        <f t="shared" si="21"/>
        <v>2006-07 - Putrescible/organic waste</v>
      </c>
      <c r="G376" s="244">
        <v>369.05</v>
      </c>
      <c r="H376" s="244" t="s">
        <v>218</v>
      </c>
      <c r="I376" s="244"/>
      <c r="J376" s="244"/>
      <c r="K376" s="244"/>
      <c r="L376" s="244"/>
      <c r="M376" s="244"/>
      <c r="N376" s="244"/>
      <c r="O376" s="244"/>
      <c r="P376" s="245"/>
    </row>
    <row r="377" spans="2:16" hidden="1">
      <c r="B377" s="238" t="s">
        <v>109</v>
      </c>
      <c r="C377" s="238" t="s">
        <v>86</v>
      </c>
      <c r="D377" s="238" t="s">
        <v>364</v>
      </c>
      <c r="E377" s="238" t="s">
        <v>365</v>
      </c>
      <c r="F377" s="243" t="str">
        <f t="shared" si="21"/>
        <v>2006-07 - Industrial washwater</v>
      </c>
      <c r="G377" s="244">
        <v>749.1</v>
      </c>
      <c r="H377" s="244" t="s">
        <v>218</v>
      </c>
      <c r="I377" s="244"/>
      <c r="J377" s="244">
        <v>22</v>
      </c>
      <c r="K377" s="244"/>
      <c r="L377" s="244"/>
      <c r="M377" s="244"/>
      <c r="N377" s="244"/>
      <c r="O377" s="244"/>
      <c r="P377" s="245"/>
    </row>
    <row r="378" spans="2:16" hidden="1">
      <c r="B378" s="238" t="s">
        <v>109</v>
      </c>
      <c r="C378" s="238" t="s">
        <v>86</v>
      </c>
      <c r="D378" s="238" t="s">
        <v>235</v>
      </c>
      <c r="E378" s="238" t="s">
        <v>366</v>
      </c>
      <c r="F378" s="243" t="str">
        <f t="shared" si="21"/>
        <v>2006-07 - Organic chemicals</v>
      </c>
      <c r="G378" s="244">
        <v>323.18</v>
      </c>
      <c r="H378" s="244" t="s">
        <v>218</v>
      </c>
      <c r="I378" s="244"/>
      <c r="J378" s="244"/>
      <c r="K378" s="244">
        <v>7.7</v>
      </c>
      <c r="L378" s="244">
        <v>76.8</v>
      </c>
      <c r="M378" s="244">
        <v>49</v>
      </c>
      <c r="N378" s="244"/>
      <c r="O378" s="244"/>
      <c r="P378" s="245"/>
    </row>
    <row r="379" spans="2:16" hidden="1">
      <c r="B379" s="238" t="s">
        <v>109</v>
      </c>
      <c r="C379" s="238" t="s">
        <v>86</v>
      </c>
      <c r="D379" s="238" t="s">
        <v>367</v>
      </c>
      <c r="E379" s="238" t="s">
        <v>368</v>
      </c>
      <c r="F379" s="243" t="str">
        <f t="shared" si="21"/>
        <v>2006-07 - Soil/sludge</v>
      </c>
      <c r="G379" s="244">
        <v>5.5</v>
      </c>
      <c r="H379" s="244" t="s">
        <v>218</v>
      </c>
      <c r="I379" s="244"/>
      <c r="J379" s="244"/>
      <c r="K379" s="244"/>
      <c r="L379" s="244">
        <v>0.3</v>
      </c>
      <c r="M379" s="244"/>
      <c r="N379" s="244"/>
      <c r="O379" s="244"/>
      <c r="P379" s="245"/>
    </row>
    <row r="380" spans="2:16" hidden="1">
      <c r="B380" s="238" t="s">
        <v>109</v>
      </c>
      <c r="C380" s="238" t="s">
        <v>86</v>
      </c>
      <c r="D380" s="238" t="s">
        <v>216</v>
      </c>
      <c r="E380" s="238" t="s">
        <v>369</v>
      </c>
      <c r="F380" s="243" t="str">
        <f t="shared" si="21"/>
        <v>2006-07 - Clinical &amp; pharmaceutical</v>
      </c>
      <c r="G380" s="244">
        <v>233.17</v>
      </c>
      <c r="H380" s="244" t="s">
        <v>218</v>
      </c>
      <c r="I380" s="244"/>
      <c r="J380" s="244"/>
      <c r="K380" s="244">
        <v>50.78</v>
      </c>
      <c r="L380" s="244">
        <v>14.21</v>
      </c>
      <c r="M380" s="244">
        <v>133.63999999999999</v>
      </c>
      <c r="N380" s="244"/>
      <c r="O380" s="244"/>
      <c r="P380" s="245"/>
    </row>
    <row r="381" spans="2:16" hidden="1">
      <c r="B381" s="238" t="s">
        <v>109</v>
      </c>
      <c r="C381" s="238" t="s">
        <v>86</v>
      </c>
      <c r="D381" s="238" t="s">
        <v>370</v>
      </c>
      <c r="E381" s="238" t="s">
        <v>371</v>
      </c>
      <c r="F381" s="243" t="str">
        <f t="shared" si="21"/>
        <v>2006-07 - Misc.</v>
      </c>
      <c r="G381" s="244">
        <v>0.16</v>
      </c>
      <c r="H381" s="244" t="s">
        <v>218</v>
      </c>
      <c r="I381" s="244">
        <v>15.8</v>
      </c>
      <c r="J381" s="244"/>
      <c r="K381" s="244">
        <v>0.87</v>
      </c>
      <c r="L381" s="244">
        <v>6.99</v>
      </c>
      <c r="M381" s="244"/>
      <c r="N381" s="244"/>
      <c r="O381" s="244"/>
      <c r="P381" s="245"/>
    </row>
    <row r="382" spans="2:16" hidden="1">
      <c r="B382" s="238" t="s">
        <v>163</v>
      </c>
      <c r="C382" s="238" t="s">
        <v>78</v>
      </c>
      <c r="D382" s="238" t="s">
        <v>157</v>
      </c>
      <c r="E382" s="238" t="s">
        <v>352</v>
      </c>
      <c r="F382" s="243" t="str">
        <f t="shared" si="21"/>
        <v>2012-13 - Plating &amp; heat treatment</v>
      </c>
      <c r="G382" s="244">
        <v>0</v>
      </c>
      <c r="H382" s="244">
        <v>0</v>
      </c>
      <c r="I382" s="244" t="s">
        <v>218</v>
      </c>
      <c r="J382" s="244">
        <v>0</v>
      </c>
      <c r="K382" s="244">
        <v>0</v>
      </c>
      <c r="L382" s="244">
        <v>112</v>
      </c>
      <c r="M382" s="244">
        <v>0</v>
      </c>
      <c r="N382" s="244">
        <v>0</v>
      </c>
      <c r="O382" s="244">
        <v>0</v>
      </c>
      <c r="P382" s="245"/>
    </row>
    <row r="383" spans="2:16" hidden="1">
      <c r="B383" s="238" t="s">
        <v>163</v>
      </c>
      <c r="C383" s="238" t="s">
        <v>78</v>
      </c>
      <c r="D383" s="238" t="s">
        <v>186</v>
      </c>
      <c r="E383" s="238" t="s">
        <v>353</v>
      </c>
      <c r="F383" s="243" t="str">
        <f t="shared" si="21"/>
        <v>2012-13 - Acids</v>
      </c>
      <c r="G383" s="244">
        <v>272.19</v>
      </c>
      <c r="H383" s="244">
        <v>0</v>
      </c>
      <c r="I383" s="244" t="s">
        <v>218</v>
      </c>
      <c r="J383" s="244">
        <v>2</v>
      </c>
      <c r="K383" s="244">
        <v>2.5099999999999998</v>
      </c>
      <c r="L383" s="244">
        <v>0</v>
      </c>
      <c r="M383" s="244">
        <v>0</v>
      </c>
      <c r="N383" s="244">
        <v>3.16</v>
      </c>
      <c r="O383" s="244">
        <v>0</v>
      </c>
      <c r="P383" s="245"/>
    </row>
    <row r="384" spans="2:16" hidden="1">
      <c r="B384" s="238" t="s">
        <v>163</v>
      </c>
      <c r="C384" s="238" t="s">
        <v>78</v>
      </c>
      <c r="D384" s="238" t="s">
        <v>247</v>
      </c>
      <c r="E384" s="238" t="s">
        <v>354</v>
      </c>
      <c r="F384" s="243" t="str">
        <f t="shared" si="21"/>
        <v>2012-13 - Alkalis</v>
      </c>
      <c r="G384" s="244">
        <v>98.56</v>
      </c>
      <c r="H384" s="244">
        <v>0</v>
      </c>
      <c r="I384" s="244" t="s">
        <v>218</v>
      </c>
      <c r="J384" s="244">
        <v>0</v>
      </c>
      <c r="K384" s="244">
        <v>0</v>
      </c>
      <c r="L384" s="244">
        <v>0</v>
      </c>
      <c r="M384" s="244">
        <v>0</v>
      </c>
      <c r="N384" s="244">
        <v>0</v>
      </c>
      <c r="O384" s="244">
        <v>0</v>
      </c>
      <c r="P384" s="245"/>
    </row>
    <row r="385" spans="2:16">
      <c r="B385" s="238" t="s">
        <v>163</v>
      </c>
      <c r="C385" s="238" t="s">
        <v>78</v>
      </c>
      <c r="D385" s="238" t="s">
        <v>159</v>
      </c>
      <c r="E385" s="238" t="s">
        <v>355</v>
      </c>
      <c r="F385" s="243" t="str">
        <f t="shared" si="21"/>
        <v>2012-13 - Inorganic chemicals</v>
      </c>
      <c r="G385" s="244">
        <v>603.83000000000004</v>
      </c>
      <c r="H385" s="244">
        <v>0</v>
      </c>
      <c r="I385" s="244" t="s">
        <v>218</v>
      </c>
      <c r="J385" s="244">
        <v>0</v>
      </c>
      <c r="K385" s="244">
        <v>1.1599999999999999</v>
      </c>
      <c r="L385" s="244">
        <v>0</v>
      </c>
      <c r="M385" s="244">
        <v>0</v>
      </c>
      <c r="N385" s="244">
        <v>0</v>
      </c>
      <c r="O385" s="244">
        <v>0</v>
      </c>
      <c r="P385" s="245"/>
    </row>
    <row r="386" spans="2:16" hidden="1">
      <c r="B386" s="238" t="s">
        <v>163</v>
      </c>
      <c r="C386" s="238" t="s">
        <v>78</v>
      </c>
      <c r="D386" s="238" t="s">
        <v>356</v>
      </c>
      <c r="E386" s="238" t="s">
        <v>357</v>
      </c>
      <c r="F386" s="243" t="str">
        <f t="shared" si="21"/>
        <v>2012-13 - Reactive chemicals</v>
      </c>
      <c r="G386" s="244">
        <v>21.69</v>
      </c>
      <c r="H386" s="244">
        <v>0</v>
      </c>
      <c r="I386" s="244" t="s">
        <v>218</v>
      </c>
      <c r="J386" s="244">
        <v>0</v>
      </c>
      <c r="K386" s="244">
        <v>0</v>
      </c>
      <c r="L386" s="244">
        <v>0</v>
      </c>
      <c r="M386" s="244">
        <v>0</v>
      </c>
      <c r="N386" s="244">
        <v>0</v>
      </c>
      <c r="O386" s="244">
        <v>0</v>
      </c>
      <c r="P386" s="245"/>
    </row>
    <row r="387" spans="2:16" hidden="1">
      <c r="B387" s="238" t="s">
        <v>163</v>
      </c>
      <c r="C387" s="238" t="s">
        <v>78</v>
      </c>
      <c r="D387" s="238" t="s">
        <v>161</v>
      </c>
      <c r="E387" s="238" t="s">
        <v>358</v>
      </c>
      <c r="F387" s="243" t="str">
        <f t="shared" si="21"/>
        <v>2012-13 - Paints, resins, inks organic sludges</v>
      </c>
      <c r="G387" s="244">
        <v>479.14</v>
      </c>
      <c r="H387" s="244">
        <v>836.29</v>
      </c>
      <c r="I387" s="244" t="s">
        <v>218</v>
      </c>
      <c r="J387" s="244">
        <v>0</v>
      </c>
      <c r="K387" s="244">
        <v>0</v>
      </c>
      <c r="L387" s="244">
        <v>0</v>
      </c>
      <c r="M387" s="244">
        <v>0</v>
      </c>
      <c r="N387" s="244">
        <v>0</v>
      </c>
      <c r="O387" s="244">
        <v>0</v>
      </c>
      <c r="P387" s="245"/>
    </row>
    <row r="388" spans="2:16" hidden="1">
      <c r="B388" s="238" t="s">
        <v>163</v>
      </c>
      <c r="C388" s="238" t="s">
        <v>78</v>
      </c>
      <c r="D388" s="238" t="s">
        <v>219</v>
      </c>
      <c r="E388" s="238" t="s">
        <v>359</v>
      </c>
      <c r="F388" s="243" t="str">
        <f t="shared" si="21"/>
        <v>2012-13 - Organic solvents</v>
      </c>
      <c r="G388" s="244">
        <v>1172.17</v>
      </c>
      <c r="H388" s="244">
        <v>0</v>
      </c>
      <c r="I388" s="244" t="s">
        <v>218</v>
      </c>
      <c r="J388" s="244">
        <v>0</v>
      </c>
      <c r="K388" s="244">
        <v>0</v>
      </c>
      <c r="L388" s="244">
        <v>0</v>
      </c>
      <c r="M388" s="244">
        <v>0</v>
      </c>
      <c r="N388" s="244">
        <v>0</v>
      </c>
      <c r="O388" s="244">
        <v>0</v>
      </c>
      <c r="P388" s="245"/>
    </row>
    <row r="389" spans="2:16" hidden="1">
      <c r="B389" s="238" t="s">
        <v>163</v>
      </c>
      <c r="C389" s="238" t="s">
        <v>78</v>
      </c>
      <c r="D389" s="238" t="s">
        <v>228</v>
      </c>
      <c r="E389" s="238" t="s">
        <v>360</v>
      </c>
      <c r="F389" s="243" t="str">
        <f t="shared" si="21"/>
        <v>2012-13 - Pesticides</v>
      </c>
      <c r="G389" s="244">
        <v>685.82</v>
      </c>
      <c r="H389" s="244">
        <v>0</v>
      </c>
      <c r="I389" s="244" t="s">
        <v>218</v>
      </c>
      <c r="J389" s="244">
        <v>0</v>
      </c>
      <c r="K389" s="244">
        <v>21.96</v>
      </c>
      <c r="L389" s="244">
        <v>0</v>
      </c>
      <c r="M389" s="244">
        <v>0</v>
      </c>
      <c r="N389" s="244">
        <v>0</v>
      </c>
      <c r="O389" s="244">
        <v>0</v>
      </c>
      <c r="P389" s="245"/>
    </row>
    <row r="390" spans="2:16" hidden="1">
      <c r="B390" s="238" t="s">
        <v>163</v>
      </c>
      <c r="C390" s="238" t="s">
        <v>78</v>
      </c>
      <c r="D390" s="238" t="s">
        <v>231</v>
      </c>
      <c r="E390" s="238" t="s">
        <v>361</v>
      </c>
      <c r="F390" s="243" t="str">
        <f t="shared" si="21"/>
        <v>2012-13 - Oils</v>
      </c>
      <c r="G390" s="244">
        <v>6170.4</v>
      </c>
      <c r="H390" s="244">
        <v>27</v>
      </c>
      <c r="I390" s="244" t="s">
        <v>218</v>
      </c>
      <c r="J390" s="244">
        <v>0</v>
      </c>
      <c r="K390" s="244">
        <v>69.5</v>
      </c>
      <c r="L390" s="244">
        <v>19.8</v>
      </c>
      <c r="M390" s="244">
        <v>0</v>
      </c>
      <c r="N390" s="244">
        <v>14.22</v>
      </c>
      <c r="O390" s="244">
        <v>5</v>
      </c>
      <c r="P390" s="245"/>
    </row>
    <row r="391" spans="2:16" hidden="1">
      <c r="B391" s="238" t="s">
        <v>163</v>
      </c>
      <c r="C391" s="238" t="s">
        <v>78</v>
      </c>
      <c r="D391" s="238" t="s">
        <v>362</v>
      </c>
      <c r="E391" s="238" t="s">
        <v>363</v>
      </c>
      <c r="F391" s="243" t="str">
        <f t="shared" si="21"/>
        <v>2012-13 - Putrescible/organic waste</v>
      </c>
      <c r="G391" s="244">
        <v>2022.58</v>
      </c>
      <c r="H391" s="244">
        <v>0</v>
      </c>
      <c r="I391" s="244" t="s">
        <v>218</v>
      </c>
      <c r="J391" s="244">
        <v>0</v>
      </c>
      <c r="K391" s="244">
        <v>12</v>
      </c>
      <c r="L391" s="244">
        <v>0</v>
      </c>
      <c r="M391" s="244">
        <v>0</v>
      </c>
      <c r="N391" s="244">
        <v>0</v>
      </c>
      <c r="O391" s="244">
        <v>0</v>
      </c>
      <c r="P391" s="245"/>
    </row>
    <row r="392" spans="2:16" hidden="1">
      <c r="B392" s="238" t="s">
        <v>163</v>
      </c>
      <c r="C392" s="238" t="s">
        <v>78</v>
      </c>
      <c r="D392" s="238" t="s">
        <v>364</v>
      </c>
      <c r="E392" s="238" t="s">
        <v>365</v>
      </c>
      <c r="F392" s="243" t="str">
        <f t="shared" si="21"/>
        <v>2012-13 - Industrial washwater</v>
      </c>
      <c r="G392" s="244">
        <v>0</v>
      </c>
      <c r="H392" s="244">
        <v>0</v>
      </c>
      <c r="I392" s="244" t="s">
        <v>218</v>
      </c>
      <c r="J392" s="244">
        <v>0</v>
      </c>
      <c r="K392" s="244">
        <v>0</v>
      </c>
      <c r="L392" s="244">
        <v>0</v>
      </c>
      <c r="M392" s="244">
        <v>0</v>
      </c>
      <c r="N392" s="244">
        <v>0</v>
      </c>
      <c r="O392" s="244">
        <v>0</v>
      </c>
      <c r="P392" s="245"/>
    </row>
    <row r="393" spans="2:16" hidden="1">
      <c r="B393" s="238" t="s">
        <v>163</v>
      </c>
      <c r="C393" s="238" t="s">
        <v>78</v>
      </c>
      <c r="D393" s="238" t="s">
        <v>235</v>
      </c>
      <c r="E393" s="238" t="s">
        <v>366</v>
      </c>
      <c r="F393" s="243" t="str">
        <f t="shared" si="21"/>
        <v>2012-13 - Organic chemicals</v>
      </c>
      <c r="G393" s="244">
        <v>961.07</v>
      </c>
      <c r="H393" s="244">
        <v>30.75</v>
      </c>
      <c r="I393" s="244" t="s">
        <v>218</v>
      </c>
      <c r="J393" s="244">
        <v>19.05</v>
      </c>
      <c r="K393" s="244">
        <v>48.97</v>
      </c>
      <c r="L393" s="244">
        <v>0</v>
      </c>
      <c r="M393" s="244">
        <v>0</v>
      </c>
      <c r="N393" s="244">
        <v>0.21</v>
      </c>
      <c r="O393" s="244">
        <v>0</v>
      </c>
      <c r="P393" s="245"/>
    </row>
    <row r="394" spans="2:16" hidden="1">
      <c r="B394" s="238" t="s">
        <v>163</v>
      </c>
      <c r="C394" s="238" t="s">
        <v>78</v>
      </c>
      <c r="D394" s="238" t="s">
        <v>367</v>
      </c>
      <c r="E394" s="238" t="s">
        <v>368</v>
      </c>
      <c r="F394" s="243" t="str">
        <f t="shared" si="21"/>
        <v>2012-13 - Soil/sludge</v>
      </c>
      <c r="G394" s="244">
        <v>6110.27</v>
      </c>
      <c r="H394" s="244">
        <v>1092</v>
      </c>
      <c r="I394" s="244" t="s">
        <v>218</v>
      </c>
      <c r="J394" s="244">
        <v>0</v>
      </c>
      <c r="K394" s="244">
        <v>0</v>
      </c>
      <c r="L394" s="244">
        <v>195.44</v>
      </c>
      <c r="M394" s="244">
        <v>0</v>
      </c>
      <c r="N394" s="244">
        <v>0</v>
      </c>
      <c r="O394" s="244">
        <v>0</v>
      </c>
      <c r="P394" s="245"/>
    </row>
    <row r="395" spans="2:16" hidden="1">
      <c r="B395" s="238" t="s">
        <v>163</v>
      </c>
      <c r="C395" s="238" t="s">
        <v>78</v>
      </c>
      <c r="D395" s="238" t="s">
        <v>216</v>
      </c>
      <c r="E395" s="238" t="s">
        <v>369</v>
      </c>
      <c r="F395" s="243" t="str">
        <f t="shared" si="21"/>
        <v>2012-13 - Clinical &amp; pharmaceutical</v>
      </c>
      <c r="G395" s="244">
        <v>318.58999999999997</v>
      </c>
      <c r="H395" s="244">
        <v>0</v>
      </c>
      <c r="I395" s="244" t="s">
        <v>218</v>
      </c>
      <c r="J395" s="244">
        <v>0</v>
      </c>
      <c r="K395" s="244">
        <v>0</v>
      </c>
      <c r="L395" s="244">
        <v>0</v>
      </c>
      <c r="M395" s="244">
        <v>0</v>
      </c>
      <c r="N395" s="244">
        <v>0</v>
      </c>
      <c r="O395" s="244">
        <v>0</v>
      </c>
      <c r="P395" s="245"/>
    </row>
    <row r="396" spans="2:16" hidden="1">
      <c r="B396" s="238" t="s">
        <v>163</v>
      </c>
      <c r="C396" s="238" t="s">
        <v>78</v>
      </c>
      <c r="D396" s="238" t="s">
        <v>370</v>
      </c>
      <c r="E396" s="238" t="s">
        <v>371</v>
      </c>
      <c r="F396" s="243" t="str">
        <f t="shared" si="21"/>
        <v>2012-13 - Misc.</v>
      </c>
      <c r="G396" s="244">
        <v>863.86</v>
      </c>
      <c r="H396" s="244">
        <v>54.3</v>
      </c>
      <c r="I396" s="244" t="s">
        <v>218</v>
      </c>
      <c r="J396" s="244">
        <v>0</v>
      </c>
      <c r="K396" s="244">
        <v>0</v>
      </c>
      <c r="L396" s="244">
        <v>0</v>
      </c>
      <c r="M396" s="244">
        <v>0</v>
      </c>
      <c r="N396" s="244">
        <v>0</v>
      </c>
      <c r="O396" s="244">
        <v>0</v>
      </c>
      <c r="P396" s="245"/>
    </row>
    <row r="397" spans="2:16" hidden="1">
      <c r="B397" s="238" t="s">
        <v>163</v>
      </c>
      <c r="C397" s="238" t="s">
        <v>79</v>
      </c>
      <c r="D397" s="238" t="s">
        <v>157</v>
      </c>
      <c r="E397" s="238" t="s">
        <v>352</v>
      </c>
      <c r="F397" s="243" t="str">
        <f t="shared" si="21"/>
        <v>2011-12 - Plating &amp; heat treatment</v>
      </c>
      <c r="G397" s="244" t="s">
        <v>330</v>
      </c>
      <c r="H397" s="244">
        <v>14</v>
      </c>
      <c r="I397" s="244" t="s">
        <v>218</v>
      </c>
      <c r="J397" s="244" t="s">
        <v>330</v>
      </c>
      <c r="K397" s="244" t="s">
        <v>330</v>
      </c>
      <c r="L397" s="244" t="s">
        <v>330</v>
      </c>
      <c r="M397" s="244" t="s">
        <v>330</v>
      </c>
      <c r="N397" s="244" t="s">
        <v>330</v>
      </c>
      <c r="O397" s="244" t="s">
        <v>330</v>
      </c>
      <c r="P397" s="245"/>
    </row>
    <row r="398" spans="2:16" hidden="1">
      <c r="B398" s="238" t="s">
        <v>163</v>
      </c>
      <c r="C398" s="238" t="s">
        <v>79</v>
      </c>
      <c r="D398" s="238" t="s">
        <v>186</v>
      </c>
      <c r="E398" s="238" t="s">
        <v>353</v>
      </c>
      <c r="F398" s="243" t="str">
        <f t="shared" si="21"/>
        <v>2011-12 - Acids</v>
      </c>
      <c r="G398" s="244">
        <v>316.89999999999998</v>
      </c>
      <c r="H398" s="244">
        <v>406.15</v>
      </c>
      <c r="I398" s="244" t="s">
        <v>218</v>
      </c>
      <c r="J398" s="244">
        <v>6.62</v>
      </c>
      <c r="K398" s="244">
        <v>3.4</v>
      </c>
      <c r="L398" s="244" t="s">
        <v>330</v>
      </c>
      <c r="M398" s="244" t="s">
        <v>330</v>
      </c>
      <c r="N398" s="244">
        <v>4.78</v>
      </c>
      <c r="O398" s="244">
        <v>3.09</v>
      </c>
      <c r="P398" s="245"/>
    </row>
    <row r="399" spans="2:16" hidden="1">
      <c r="B399" s="238" t="s">
        <v>163</v>
      </c>
      <c r="C399" s="238" t="s">
        <v>79</v>
      </c>
      <c r="D399" s="238" t="s">
        <v>247</v>
      </c>
      <c r="E399" s="238" t="s">
        <v>354</v>
      </c>
      <c r="F399" s="243" t="str">
        <f t="shared" si="21"/>
        <v>2011-12 - Alkalis</v>
      </c>
      <c r="G399" s="244">
        <v>236.7</v>
      </c>
      <c r="H399" s="244">
        <v>145</v>
      </c>
      <c r="I399" s="244" t="s">
        <v>218</v>
      </c>
      <c r="J399" s="244" t="s">
        <v>330</v>
      </c>
      <c r="K399" s="244">
        <v>25</v>
      </c>
      <c r="L399" s="244" t="s">
        <v>330</v>
      </c>
      <c r="M399" s="244" t="s">
        <v>330</v>
      </c>
      <c r="N399" s="244" t="s">
        <v>330</v>
      </c>
      <c r="O399" s="244" t="s">
        <v>330</v>
      </c>
      <c r="P399" s="245"/>
    </row>
    <row r="400" spans="2:16">
      <c r="B400" s="238" t="s">
        <v>163</v>
      </c>
      <c r="C400" s="238" t="s">
        <v>79</v>
      </c>
      <c r="D400" s="238" t="s">
        <v>159</v>
      </c>
      <c r="E400" s="238" t="s">
        <v>355</v>
      </c>
      <c r="F400" s="243" t="str">
        <f t="shared" si="21"/>
        <v>2011-12 - Inorganic chemicals</v>
      </c>
      <c r="G400" s="244">
        <v>119.47</v>
      </c>
      <c r="H400" s="244">
        <v>32.26</v>
      </c>
      <c r="I400" s="244" t="s">
        <v>218</v>
      </c>
      <c r="J400" s="244" t="s">
        <v>330</v>
      </c>
      <c r="K400" s="244">
        <v>0.46</v>
      </c>
      <c r="L400" s="244" t="s">
        <v>330</v>
      </c>
      <c r="M400" s="244" t="s">
        <v>330</v>
      </c>
      <c r="N400" s="244" t="s">
        <v>330</v>
      </c>
      <c r="O400" s="244" t="s">
        <v>330</v>
      </c>
      <c r="P400" s="245"/>
    </row>
    <row r="401" spans="2:16" hidden="1">
      <c r="B401" s="238" t="s">
        <v>163</v>
      </c>
      <c r="C401" s="238" t="s">
        <v>79</v>
      </c>
      <c r="D401" s="238" t="s">
        <v>356</v>
      </c>
      <c r="E401" s="238" t="s">
        <v>357</v>
      </c>
      <c r="F401" s="243" t="str">
        <f t="shared" si="21"/>
        <v>2011-12 - Reactive chemicals</v>
      </c>
      <c r="G401" s="244" t="s">
        <v>330</v>
      </c>
      <c r="H401" s="244" t="s">
        <v>330</v>
      </c>
      <c r="I401" s="244" t="s">
        <v>218</v>
      </c>
      <c r="J401" s="244" t="s">
        <v>330</v>
      </c>
      <c r="K401" s="244" t="s">
        <v>330</v>
      </c>
      <c r="L401" s="244" t="s">
        <v>330</v>
      </c>
      <c r="M401" s="244" t="s">
        <v>330</v>
      </c>
      <c r="N401" s="244" t="s">
        <v>330</v>
      </c>
      <c r="O401" s="244" t="s">
        <v>330</v>
      </c>
      <c r="P401" s="245"/>
    </row>
    <row r="402" spans="2:16" hidden="1">
      <c r="B402" s="238" t="s">
        <v>163</v>
      </c>
      <c r="C402" s="238" t="s">
        <v>79</v>
      </c>
      <c r="D402" s="238" t="s">
        <v>161</v>
      </c>
      <c r="E402" s="238" t="s">
        <v>358</v>
      </c>
      <c r="F402" s="243" t="str">
        <f t="shared" si="21"/>
        <v>2011-12 - Paints, resins, inks organic sludges</v>
      </c>
      <c r="G402" s="244">
        <v>217</v>
      </c>
      <c r="H402" s="244">
        <v>40</v>
      </c>
      <c r="I402" s="244" t="s">
        <v>218</v>
      </c>
      <c r="J402" s="244" t="s">
        <v>330</v>
      </c>
      <c r="K402" s="244" t="s">
        <v>330</v>
      </c>
      <c r="L402" s="244" t="s">
        <v>330</v>
      </c>
      <c r="M402" s="244" t="s">
        <v>330</v>
      </c>
      <c r="N402" s="244" t="s">
        <v>330</v>
      </c>
      <c r="O402" s="244" t="s">
        <v>330</v>
      </c>
      <c r="P402" s="245"/>
    </row>
    <row r="403" spans="2:16" hidden="1">
      <c r="B403" s="238" t="s">
        <v>163</v>
      </c>
      <c r="C403" s="238" t="s">
        <v>79</v>
      </c>
      <c r="D403" s="238" t="s">
        <v>219</v>
      </c>
      <c r="E403" s="238" t="s">
        <v>359</v>
      </c>
      <c r="F403" s="243" t="str">
        <f t="shared" si="21"/>
        <v>2011-12 - Organic solvents</v>
      </c>
      <c r="G403" s="244">
        <v>5.81</v>
      </c>
      <c r="H403" s="244" t="s">
        <v>330</v>
      </c>
      <c r="I403" s="244" t="s">
        <v>218</v>
      </c>
      <c r="J403" s="244" t="s">
        <v>330</v>
      </c>
      <c r="K403" s="244" t="s">
        <v>330</v>
      </c>
      <c r="L403" s="244" t="s">
        <v>330</v>
      </c>
      <c r="M403" s="244" t="s">
        <v>330</v>
      </c>
      <c r="N403" s="244">
        <v>7.2</v>
      </c>
      <c r="O403" s="244" t="s">
        <v>330</v>
      </c>
      <c r="P403" s="245"/>
    </row>
    <row r="404" spans="2:16" hidden="1">
      <c r="B404" s="238" t="s">
        <v>163</v>
      </c>
      <c r="C404" s="238" t="s">
        <v>79</v>
      </c>
      <c r="D404" s="238" t="s">
        <v>228</v>
      </c>
      <c r="E404" s="238" t="s">
        <v>360</v>
      </c>
      <c r="F404" s="243" t="str">
        <f t="shared" si="21"/>
        <v>2011-12 - Pesticides</v>
      </c>
      <c r="G404" s="244">
        <v>17</v>
      </c>
      <c r="H404" s="244">
        <v>1.66</v>
      </c>
      <c r="I404" s="244" t="s">
        <v>218</v>
      </c>
      <c r="J404" s="244" t="s">
        <v>330</v>
      </c>
      <c r="K404" s="244">
        <v>31</v>
      </c>
      <c r="L404" s="244" t="s">
        <v>330</v>
      </c>
      <c r="M404" s="244" t="s">
        <v>330</v>
      </c>
      <c r="N404" s="244" t="s">
        <v>330</v>
      </c>
      <c r="O404" s="244" t="s">
        <v>330</v>
      </c>
      <c r="P404" s="245"/>
    </row>
    <row r="405" spans="2:16" hidden="1">
      <c r="B405" s="238" t="s">
        <v>163</v>
      </c>
      <c r="C405" s="238" t="s">
        <v>79</v>
      </c>
      <c r="D405" s="238" t="s">
        <v>231</v>
      </c>
      <c r="E405" s="238" t="s">
        <v>361</v>
      </c>
      <c r="F405" s="243" t="str">
        <f t="shared" si="21"/>
        <v>2011-12 - Oils</v>
      </c>
      <c r="G405" s="244">
        <v>6365.91</v>
      </c>
      <c r="H405" s="244">
        <v>304.55</v>
      </c>
      <c r="I405" s="244" t="s">
        <v>218</v>
      </c>
      <c r="J405" s="244">
        <v>16.309999999999999</v>
      </c>
      <c r="K405" s="244">
        <v>153.69999999999999</v>
      </c>
      <c r="L405" s="244">
        <v>195.27</v>
      </c>
      <c r="M405" s="244" t="s">
        <v>330</v>
      </c>
      <c r="N405" s="244">
        <v>62</v>
      </c>
      <c r="O405" s="244" t="s">
        <v>330</v>
      </c>
      <c r="P405" s="245"/>
    </row>
    <row r="406" spans="2:16" hidden="1">
      <c r="B406" s="238" t="s">
        <v>163</v>
      </c>
      <c r="C406" s="238" t="s">
        <v>79</v>
      </c>
      <c r="D406" s="238" t="s">
        <v>362</v>
      </c>
      <c r="E406" s="238" t="s">
        <v>363</v>
      </c>
      <c r="F406" s="243" t="str">
        <f t="shared" si="21"/>
        <v>2011-12 - Putrescible/organic waste</v>
      </c>
      <c r="G406" s="244">
        <v>1774.06</v>
      </c>
      <c r="H406" s="244">
        <v>3.1</v>
      </c>
      <c r="I406" s="244" t="s">
        <v>218</v>
      </c>
      <c r="J406" s="244" t="s">
        <v>330</v>
      </c>
      <c r="K406" s="244">
        <v>192.7</v>
      </c>
      <c r="L406" s="244" t="s">
        <v>330</v>
      </c>
      <c r="M406" s="244" t="s">
        <v>330</v>
      </c>
      <c r="N406" s="244" t="s">
        <v>330</v>
      </c>
      <c r="O406" s="244" t="s">
        <v>330</v>
      </c>
      <c r="P406" s="245"/>
    </row>
    <row r="407" spans="2:16" hidden="1">
      <c r="B407" s="238" t="s">
        <v>163</v>
      </c>
      <c r="C407" s="238" t="s">
        <v>79</v>
      </c>
      <c r="D407" s="238" t="s">
        <v>364</v>
      </c>
      <c r="E407" s="238" t="s">
        <v>365</v>
      </c>
      <c r="F407" s="243" t="str">
        <f t="shared" si="21"/>
        <v>2011-12 - Industrial washwater</v>
      </c>
      <c r="G407" s="244" t="s">
        <v>330</v>
      </c>
      <c r="H407" s="244" t="s">
        <v>330</v>
      </c>
      <c r="I407" s="244" t="s">
        <v>218</v>
      </c>
      <c r="J407" s="244" t="s">
        <v>330</v>
      </c>
      <c r="K407" s="244" t="s">
        <v>330</v>
      </c>
      <c r="L407" s="244" t="s">
        <v>330</v>
      </c>
      <c r="M407" s="244" t="s">
        <v>330</v>
      </c>
      <c r="N407" s="244" t="s">
        <v>330</v>
      </c>
      <c r="O407" s="244" t="s">
        <v>330</v>
      </c>
      <c r="P407" s="245"/>
    </row>
    <row r="408" spans="2:16" hidden="1">
      <c r="B408" s="238" t="s">
        <v>163</v>
      </c>
      <c r="C408" s="238" t="s">
        <v>79</v>
      </c>
      <c r="D408" s="238" t="s">
        <v>235</v>
      </c>
      <c r="E408" s="238" t="s">
        <v>366</v>
      </c>
      <c r="F408" s="243" t="str">
        <f t="shared" si="21"/>
        <v>2011-12 - Organic chemicals</v>
      </c>
      <c r="G408" s="244">
        <v>478.28</v>
      </c>
      <c r="H408" s="244">
        <v>151.05000000000001</v>
      </c>
      <c r="I408" s="244" t="s">
        <v>218</v>
      </c>
      <c r="J408" s="244">
        <v>9</v>
      </c>
      <c r="K408" s="244">
        <v>9.44</v>
      </c>
      <c r="L408" s="244">
        <v>0.89</v>
      </c>
      <c r="M408" s="244">
        <v>0</v>
      </c>
      <c r="N408" s="244">
        <v>6.26</v>
      </c>
      <c r="O408" s="244" t="s">
        <v>330</v>
      </c>
      <c r="P408" s="245"/>
    </row>
    <row r="409" spans="2:16" hidden="1">
      <c r="B409" s="238" t="s">
        <v>163</v>
      </c>
      <c r="C409" s="238" t="s">
        <v>79</v>
      </c>
      <c r="D409" s="238" t="s">
        <v>367</v>
      </c>
      <c r="E409" s="238" t="s">
        <v>368</v>
      </c>
      <c r="F409" s="243" t="str">
        <f t="shared" si="21"/>
        <v>2011-12 - Soil/sludge</v>
      </c>
      <c r="G409" s="244">
        <v>1233.98</v>
      </c>
      <c r="H409" s="244">
        <v>18.100000000000001</v>
      </c>
      <c r="I409" s="244" t="s">
        <v>218</v>
      </c>
      <c r="J409" s="244" t="s">
        <v>330</v>
      </c>
      <c r="K409" s="244" t="s">
        <v>330</v>
      </c>
      <c r="L409" s="244">
        <v>72.37</v>
      </c>
      <c r="M409" s="244" t="s">
        <v>330</v>
      </c>
      <c r="N409" s="244" t="s">
        <v>330</v>
      </c>
      <c r="O409" s="244" t="s">
        <v>330</v>
      </c>
      <c r="P409" s="245"/>
    </row>
    <row r="410" spans="2:16" hidden="1">
      <c r="B410" s="238" t="s">
        <v>163</v>
      </c>
      <c r="C410" s="238" t="s">
        <v>79</v>
      </c>
      <c r="D410" s="238" t="s">
        <v>216</v>
      </c>
      <c r="E410" s="238" t="s">
        <v>369</v>
      </c>
      <c r="F410" s="243" t="str">
        <f t="shared" si="21"/>
        <v>2011-12 - Clinical &amp; pharmaceutical</v>
      </c>
      <c r="G410" s="244">
        <v>714.29</v>
      </c>
      <c r="H410" s="244">
        <v>0.03</v>
      </c>
      <c r="I410" s="244" t="s">
        <v>218</v>
      </c>
      <c r="J410" s="244" t="s">
        <v>330</v>
      </c>
      <c r="K410" s="244" t="s">
        <v>330</v>
      </c>
      <c r="L410" s="244" t="s">
        <v>330</v>
      </c>
      <c r="M410" s="244" t="s">
        <v>330</v>
      </c>
      <c r="N410" s="244" t="s">
        <v>330</v>
      </c>
      <c r="O410" s="244" t="s">
        <v>330</v>
      </c>
      <c r="P410" s="245"/>
    </row>
    <row r="411" spans="2:16" hidden="1">
      <c r="B411" s="238" t="s">
        <v>163</v>
      </c>
      <c r="C411" s="238" t="s">
        <v>79</v>
      </c>
      <c r="D411" s="238" t="s">
        <v>370</v>
      </c>
      <c r="E411" s="238" t="s">
        <v>371</v>
      </c>
      <c r="F411" s="243" t="str">
        <f t="shared" si="21"/>
        <v>2011-12 - Misc.</v>
      </c>
      <c r="G411" s="244">
        <v>717.88</v>
      </c>
      <c r="H411" s="244">
        <v>38.83</v>
      </c>
      <c r="I411" s="244" t="s">
        <v>218</v>
      </c>
      <c r="J411" s="244" t="s">
        <v>330</v>
      </c>
      <c r="K411" s="244" t="s">
        <v>330</v>
      </c>
      <c r="L411" s="244" t="s">
        <v>330</v>
      </c>
      <c r="M411" s="244" t="s">
        <v>330</v>
      </c>
      <c r="N411" s="244" t="s">
        <v>330</v>
      </c>
      <c r="O411" s="244" t="s">
        <v>330</v>
      </c>
      <c r="P411" s="245"/>
    </row>
    <row r="412" spans="2:16" hidden="1">
      <c r="B412" s="238" t="s">
        <v>163</v>
      </c>
      <c r="C412" s="238" t="s">
        <v>80</v>
      </c>
      <c r="D412" s="238" t="s">
        <v>157</v>
      </c>
      <c r="E412" s="238" t="s">
        <v>352</v>
      </c>
      <c r="F412" s="243" t="str">
        <f t="shared" si="21"/>
        <v>2010-11 - Plating &amp; heat treatment</v>
      </c>
      <c r="G412" s="244">
        <v>45.31</v>
      </c>
      <c r="H412" s="244"/>
      <c r="I412" s="244" t="s">
        <v>218</v>
      </c>
      <c r="J412" s="244"/>
      <c r="K412" s="244"/>
      <c r="L412" s="244"/>
      <c r="M412" s="244"/>
      <c r="N412" s="244"/>
      <c r="O412" s="244"/>
      <c r="P412" s="245"/>
    </row>
    <row r="413" spans="2:16" hidden="1">
      <c r="B413" s="238" t="s">
        <v>163</v>
      </c>
      <c r="C413" s="238" t="s">
        <v>80</v>
      </c>
      <c r="D413" s="238" t="s">
        <v>186</v>
      </c>
      <c r="E413" s="238" t="s">
        <v>353</v>
      </c>
      <c r="F413" s="243" t="str">
        <f t="shared" si="21"/>
        <v>2010-11 - Acids</v>
      </c>
      <c r="G413" s="244">
        <v>204.88</v>
      </c>
      <c r="H413" s="244">
        <v>9.15</v>
      </c>
      <c r="I413" s="244" t="s">
        <v>218</v>
      </c>
      <c r="J413" s="244">
        <v>2.97</v>
      </c>
      <c r="K413" s="244">
        <v>4.96</v>
      </c>
      <c r="L413" s="244">
        <v>0.28999999999999998</v>
      </c>
      <c r="M413" s="244"/>
      <c r="N413" s="244">
        <v>7.47</v>
      </c>
      <c r="O413" s="244"/>
      <c r="P413" s="245"/>
    </row>
    <row r="414" spans="2:16" hidden="1">
      <c r="B414" s="238" t="s">
        <v>163</v>
      </c>
      <c r="C414" s="238" t="s">
        <v>80</v>
      </c>
      <c r="D414" s="238" t="s">
        <v>247</v>
      </c>
      <c r="E414" s="238" t="s">
        <v>354</v>
      </c>
      <c r="F414" s="243" t="str">
        <f t="shared" si="21"/>
        <v>2010-11 - Alkalis</v>
      </c>
      <c r="G414" s="244">
        <v>11634</v>
      </c>
      <c r="H414" s="244"/>
      <c r="I414" s="244" t="s">
        <v>218</v>
      </c>
      <c r="J414" s="244"/>
      <c r="K414" s="244"/>
      <c r="L414" s="244"/>
      <c r="M414" s="244"/>
      <c r="N414" s="244">
        <v>209.64</v>
      </c>
      <c r="O414" s="244"/>
      <c r="P414" s="245"/>
    </row>
    <row r="415" spans="2:16">
      <c r="B415" s="238" t="s">
        <v>163</v>
      </c>
      <c r="C415" s="238" t="s">
        <v>80</v>
      </c>
      <c r="D415" s="238" t="s">
        <v>159</v>
      </c>
      <c r="E415" s="238" t="s">
        <v>355</v>
      </c>
      <c r="F415" s="243" t="str">
        <f t="shared" si="21"/>
        <v>2010-11 - Inorganic chemicals</v>
      </c>
      <c r="G415" s="244">
        <v>4.59</v>
      </c>
      <c r="H415" s="244">
        <v>5.0199999999999996</v>
      </c>
      <c r="I415" s="244" t="s">
        <v>218</v>
      </c>
      <c r="J415" s="244"/>
      <c r="K415" s="244">
        <v>42.54</v>
      </c>
      <c r="L415" s="244">
        <v>18.100000000000001</v>
      </c>
      <c r="M415" s="244"/>
      <c r="N415" s="244"/>
      <c r="O415" s="244"/>
      <c r="P415" s="245"/>
    </row>
    <row r="416" spans="2:16" hidden="1">
      <c r="B416" s="238" t="s">
        <v>163</v>
      </c>
      <c r="C416" s="238" t="s">
        <v>80</v>
      </c>
      <c r="D416" s="238" t="s">
        <v>356</v>
      </c>
      <c r="E416" s="238" t="s">
        <v>357</v>
      </c>
      <c r="F416" s="243" t="str">
        <f t="shared" si="21"/>
        <v>2010-11 - Reactive chemicals</v>
      </c>
      <c r="G416" s="244"/>
      <c r="H416" s="244"/>
      <c r="I416" s="244" t="s">
        <v>218</v>
      </c>
      <c r="J416" s="244"/>
      <c r="K416" s="244"/>
      <c r="L416" s="244"/>
      <c r="M416" s="244"/>
      <c r="N416" s="244"/>
      <c r="O416" s="244"/>
      <c r="P416" s="245"/>
    </row>
    <row r="417" spans="2:16" hidden="1">
      <c r="B417" s="238" t="s">
        <v>163</v>
      </c>
      <c r="C417" s="238" t="s">
        <v>80</v>
      </c>
      <c r="D417" s="238" t="s">
        <v>161</v>
      </c>
      <c r="E417" s="238" t="s">
        <v>358</v>
      </c>
      <c r="F417" s="243" t="str">
        <f t="shared" si="21"/>
        <v>2010-11 - Paints, resins, inks organic sludges</v>
      </c>
      <c r="G417" s="244">
        <v>393.05</v>
      </c>
      <c r="H417" s="244"/>
      <c r="I417" s="244" t="s">
        <v>218</v>
      </c>
      <c r="J417" s="244"/>
      <c r="K417" s="244"/>
      <c r="L417" s="244"/>
      <c r="M417" s="244"/>
      <c r="N417" s="244"/>
      <c r="O417" s="244"/>
      <c r="P417" s="245"/>
    </row>
    <row r="418" spans="2:16" hidden="1">
      <c r="B418" s="238" t="s">
        <v>163</v>
      </c>
      <c r="C418" s="238" t="s">
        <v>80</v>
      </c>
      <c r="D418" s="238" t="s">
        <v>219</v>
      </c>
      <c r="E418" s="238" t="s">
        <v>359</v>
      </c>
      <c r="F418" s="243" t="str">
        <f t="shared" si="21"/>
        <v>2010-11 - Organic solvents</v>
      </c>
      <c r="G418" s="244">
        <v>0.22</v>
      </c>
      <c r="H418" s="244"/>
      <c r="I418" s="244" t="s">
        <v>218</v>
      </c>
      <c r="J418" s="244"/>
      <c r="K418" s="244"/>
      <c r="L418" s="244"/>
      <c r="M418" s="244"/>
      <c r="N418" s="244"/>
      <c r="O418" s="244"/>
      <c r="P418" s="245"/>
    </row>
    <row r="419" spans="2:16" hidden="1">
      <c r="B419" s="238" t="s">
        <v>163</v>
      </c>
      <c r="C419" s="238" t="s">
        <v>80</v>
      </c>
      <c r="D419" s="238" t="s">
        <v>228</v>
      </c>
      <c r="E419" s="238" t="s">
        <v>360</v>
      </c>
      <c r="F419" s="243" t="str">
        <f t="shared" si="21"/>
        <v>2010-11 - Pesticides</v>
      </c>
      <c r="G419" s="244">
        <v>3.93</v>
      </c>
      <c r="H419" s="244"/>
      <c r="I419" s="244" t="s">
        <v>218</v>
      </c>
      <c r="J419" s="244"/>
      <c r="K419" s="244">
        <v>15.2</v>
      </c>
      <c r="L419" s="244"/>
      <c r="M419" s="244"/>
      <c r="N419" s="244"/>
      <c r="O419" s="244"/>
      <c r="P419" s="245"/>
    </row>
    <row r="420" spans="2:16" hidden="1">
      <c r="B420" s="238" t="s">
        <v>163</v>
      </c>
      <c r="C420" s="238" t="s">
        <v>80</v>
      </c>
      <c r="D420" s="238" t="s">
        <v>231</v>
      </c>
      <c r="E420" s="238" t="s">
        <v>361</v>
      </c>
      <c r="F420" s="243" t="str">
        <f t="shared" si="21"/>
        <v>2010-11 - Oils</v>
      </c>
      <c r="G420" s="244">
        <v>9637.69</v>
      </c>
      <c r="H420" s="244">
        <v>732.62</v>
      </c>
      <c r="I420" s="244" t="s">
        <v>218</v>
      </c>
      <c r="J420" s="244"/>
      <c r="K420" s="244">
        <v>0.21</v>
      </c>
      <c r="L420" s="244"/>
      <c r="M420" s="244"/>
      <c r="N420" s="244">
        <v>16.8</v>
      </c>
      <c r="O420" s="244"/>
      <c r="P420" s="245"/>
    </row>
    <row r="421" spans="2:16" hidden="1">
      <c r="B421" s="238" t="s">
        <v>163</v>
      </c>
      <c r="C421" s="238" t="s">
        <v>80</v>
      </c>
      <c r="D421" s="238" t="s">
        <v>362</v>
      </c>
      <c r="E421" s="238" t="s">
        <v>363</v>
      </c>
      <c r="F421" s="243" t="str">
        <f t="shared" si="21"/>
        <v>2010-11 - Putrescible/organic waste</v>
      </c>
      <c r="G421" s="244">
        <v>467.82</v>
      </c>
      <c r="H421" s="244"/>
      <c r="I421" s="244" t="s">
        <v>218</v>
      </c>
      <c r="J421" s="244"/>
      <c r="K421" s="244"/>
      <c r="L421" s="244"/>
      <c r="M421" s="244"/>
      <c r="N421" s="244">
        <v>144.5</v>
      </c>
      <c r="O421" s="244"/>
      <c r="P421" s="245"/>
    </row>
    <row r="422" spans="2:16" hidden="1">
      <c r="B422" s="238" t="s">
        <v>163</v>
      </c>
      <c r="C422" s="238" t="s">
        <v>80</v>
      </c>
      <c r="D422" s="238" t="s">
        <v>364</v>
      </c>
      <c r="E422" s="238" t="s">
        <v>365</v>
      </c>
      <c r="F422" s="243" t="str">
        <f t="shared" si="21"/>
        <v>2010-11 - Industrial washwater</v>
      </c>
      <c r="G422" s="244"/>
      <c r="H422" s="244"/>
      <c r="I422" s="244" t="s">
        <v>218</v>
      </c>
      <c r="J422" s="244"/>
      <c r="K422" s="244"/>
      <c r="L422" s="244"/>
      <c r="M422" s="244"/>
      <c r="N422" s="244"/>
      <c r="O422" s="244"/>
      <c r="P422" s="245"/>
    </row>
    <row r="423" spans="2:16" hidden="1">
      <c r="B423" s="238" t="s">
        <v>163</v>
      </c>
      <c r="C423" s="238" t="s">
        <v>80</v>
      </c>
      <c r="D423" s="238" t="s">
        <v>235</v>
      </c>
      <c r="E423" s="238" t="s">
        <v>366</v>
      </c>
      <c r="F423" s="243" t="str">
        <f t="shared" si="21"/>
        <v>2010-11 - Organic chemicals</v>
      </c>
      <c r="G423" s="244">
        <v>228.7</v>
      </c>
      <c r="H423" s="244">
        <v>352.81</v>
      </c>
      <c r="I423" s="244" t="s">
        <v>218</v>
      </c>
      <c r="J423" s="244"/>
      <c r="K423" s="244">
        <v>37.799999999999997</v>
      </c>
      <c r="L423" s="244"/>
      <c r="M423" s="244"/>
      <c r="N423" s="244">
        <v>1.25</v>
      </c>
      <c r="O423" s="244"/>
      <c r="P423" s="245"/>
    </row>
    <row r="424" spans="2:16" hidden="1">
      <c r="B424" s="238" t="s">
        <v>163</v>
      </c>
      <c r="C424" s="238" t="s">
        <v>80</v>
      </c>
      <c r="D424" s="238" t="s">
        <v>367</v>
      </c>
      <c r="E424" s="238" t="s">
        <v>368</v>
      </c>
      <c r="F424" s="243" t="str">
        <f t="shared" si="21"/>
        <v>2010-11 - Soil/sludge</v>
      </c>
      <c r="G424" s="244">
        <v>10355.02</v>
      </c>
      <c r="H424" s="244">
        <v>787.82</v>
      </c>
      <c r="I424" s="244" t="s">
        <v>218</v>
      </c>
      <c r="J424" s="244"/>
      <c r="K424" s="244"/>
      <c r="L424" s="244">
        <v>2863.72</v>
      </c>
      <c r="M424" s="244"/>
      <c r="N424" s="244"/>
      <c r="O424" s="244"/>
      <c r="P424" s="245"/>
    </row>
    <row r="425" spans="2:16" hidden="1">
      <c r="B425" s="238" t="s">
        <v>163</v>
      </c>
      <c r="C425" s="238" t="s">
        <v>80</v>
      </c>
      <c r="D425" s="238" t="s">
        <v>216</v>
      </c>
      <c r="E425" s="238" t="s">
        <v>369</v>
      </c>
      <c r="F425" s="243" t="str">
        <f t="shared" si="21"/>
        <v>2010-11 - Clinical &amp; pharmaceutical</v>
      </c>
      <c r="G425" s="244">
        <v>529.15</v>
      </c>
      <c r="H425" s="244"/>
      <c r="I425" s="244" t="s">
        <v>218</v>
      </c>
      <c r="J425" s="244"/>
      <c r="K425" s="244"/>
      <c r="L425" s="244"/>
      <c r="M425" s="244"/>
      <c r="N425" s="244"/>
      <c r="O425" s="244"/>
      <c r="P425" s="245"/>
    </row>
    <row r="426" spans="2:16" hidden="1">
      <c r="B426" s="238" t="s">
        <v>163</v>
      </c>
      <c r="C426" s="238" t="s">
        <v>80</v>
      </c>
      <c r="D426" s="238" t="s">
        <v>370</v>
      </c>
      <c r="E426" s="238" t="s">
        <v>371</v>
      </c>
      <c r="F426" s="243" t="str">
        <f t="shared" si="21"/>
        <v>2010-11 - Misc.</v>
      </c>
      <c r="G426" s="244"/>
      <c r="H426" s="244"/>
      <c r="I426" s="244" t="s">
        <v>218</v>
      </c>
      <c r="J426" s="244"/>
      <c r="K426" s="244"/>
      <c r="L426" s="244"/>
      <c r="M426" s="244"/>
      <c r="N426" s="244"/>
      <c r="O426" s="244"/>
      <c r="P426" s="245"/>
    </row>
    <row r="427" spans="2:16" hidden="1">
      <c r="B427" s="238" t="s">
        <v>163</v>
      </c>
      <c r="C427" s="238" t="s">
        <v>81</v>
      </c>
      <c r="D427" s="238" t="s">
        <v>157</v>
      </c>
      <c r="E427" s="238" t="s">
        <v>352</v>
      </c>
      <c r="F427" s="243" t="str">
        <f t="shared" si="21"/>
        <v>2009-10 - Plating &amp; heat treatment</v>
      </c>
      <c r="G427" s="244">
        <v>2.76</v>
      </c>
      <c r="H427" s="244"/>
      <c r="I427" s="244" t="s">
        <v>218</v>
      </c>
      <c r="J427" s="244"/>
      <c r="K427" s="244"/>
      <c r="L427" s="244"/>
      <c r="M427" s="244"/>
      <c r="N427" s="244"/>
      <c r="O427" s="244"/>
      <c r="P427" s="245"/>
    </row>
    <row r="428" spans="2:16" hidden="1">
      <c r="B428" s="238" t="s">
        <v>163</v>
      </c>
      <c r="C428" s="238" t="s">
        <v>81</v>
      </c>
      <c r="D428" s="238" t="s">
        <v>186</v>
      </c>
      <c r="E428" s="238" t="s">
        <v>353</v>
      </c>
      <c r="F428" s="243" t="str">
        <f t="shared" ref="F428:F491" si="22">CONCATENATE(C428," - ",E428)</f>
        <v>2009-10 - Acids</v>
      </c>
      <c r="G428" s="244">
        <v>57.56</v>
      </c>
      <c r="H428" s="244">
        <v>7.55</v>
      </c>
      <c r="I428" s="244" t="s">
        <v>218</v>
      </c>
      <c r="J428" s="244">
        <v>5.67</v>
      </c>
      <c r="K428" s="244"/>
      <c r="L428" s="244"/>
      <c r="M428" s="244"/>
      <c r="N428" s="244">
        <v>2.2000000000000002</v>
      </c>
      <c r="O428" s="244"/>
      <c r="P428" s="245"/>
    </row>
    <row r="429" spans="2:16" hidden="1">
      <c r="B429" s="238" t="s">
        <v>163</v>
      </c>
      <c r="C429" s="238" t="s">
        <v>81</v>
      </c>
      <c r="D429" s="238" t="s">
        <v>247</v>
      </c>
      <c r="E429" s="238" t="s">
        <v>354</v>
      </c>
      <c r="F429" s="243" t="str">
        <f t="shared" si="22"/>
        <v>2009-10 - Alkalis</v>
      </c>
      <c r="G429" s="244">
        <v>148.69999999999999</v>
      </c>
      <c r="H429" s="244">
        <v>7</v>
      </c>
      <c r="I429" s="244" t="s">
        <v>218</v>
      </c>
      <c r="J429" s="244"/>
      <c r="K429" s="244"/>
      <c r="L429" s="244"/>
      <c r="M429" s="244"/>
      <c r="N429" s="244">
        <v>55</v>
      </c>
      <c r="O429" s="244"/>
      <c r="P429" s="245"/>
    </row>
    <row r="430" spans="2:16">
      <c r="B430" s="238" t="s">
        <v>163</v>
      </c>
      <c r="C430" s="238" t="s">
        <v>81</v>
      </c>
      <c r="D430" s="238" t="s">
        <v>159</v>
      </c>
      <c r="E430" s="238" t="s">
        <v>355</v>
      </c>
      <c r="F430" s="243" t="str">
        <f t="shared" si="22"/>
        <v>2009-10 - Inorganic chemicals</v>
      </c>
      <c r="G430" s="244">
        <v>15.14</v>
      </c>
      <c r="H430" s="244"/>
      <c r="I430" s="244" t="s">
        <v>218</v>
      </c>
      <c r="J430" s="244"/>
      <c r="K430" s="244"/>
      <c r="L430" s="244">
        <v>20</v>
      </c>
      <c r="M430" s="244"/>
      <c r="N430" s="244"/>
      <c r="O430" s="244"/>
      <c r="P430" s="245"/>
    </row>
    <row r="431" spans="2:16" hidden="1">
      <c r="B431" s="238" t="s">
        <v>163</v>
      </c>
      <c r="C431" s="238" t="s">
        <v>81</v>
      </c>
      <c r="D431" s="238" t="s">
        <v>356</v>
      </c>
      <c r="E431" s="238" t="s">
        <v>357</v>
      </c>
      <c r="F431" s="243" t="str">
        <f t="shared" si="22"/>
        <v>2009-10 - Reactive chemicals</v>
      </c>
      <c r="G431" s="244"/>
      <c r="H431" s="244"/>
      <c r="I431" s="244" t="s">
        <v>218</v>
      </c>
      <c r="J431" s="244"/>
      <c r="K431" s="244"/>
      <c r="L431" s="244"/>
      <c r="M431" s="244"/>
      <c r="N431" s="244"/>
      <c r="O431" s="244"/>
      <c r="P431" s="245"/>
    </row>
    <row r="432" spans="2:16" hidden="1">
      <c r="B432" s="238" t="s">
        <v>163</v>
      </c>
      <c r="C432" s="238" t="s">
        <v>81</v>
      </c>
      <c r="D432" s="238" t="s">
        <v>161</v>
      </c>
      <c r="E432" s="238" t="s">
        <v>358</v>
      </c>
      <c r="F432" s="243" t="str">
        <f t="shared" si="22"/>
        <v>2009-10 - Paints, resins, inks organic sludges</v>
      </c>
      <c r="G432" s="244">
        <v>143.62</v>
      </c>
      <c r="H432" s="244">
        <v>0.3</v>
      </c>
      <c r="I432" s="244" t="s">
        <v>218</v>
      </c>
      <c r="J432" s="244">
        <v>3</v>
      </c>
      <c r="K432" s="244"/>
      <c r="L432" s="244"/>
      <c r="M432" s="244"/>
      <c r="N432" s="244"/>
      <c r="O432" s="244"/>
      <c r="P432" s="245"/>
    </row>
    <row r="433" spans="2:16" hidden="1">
      <c r="B433" s="238" t="s">
        <v>163</v>
      </c>
      <c r="C433" s="238" t="s">
        <v>81</v>
      </c>
      <c r="D433" s="238" t="s">
        <v>219</v>
      </c>
      <c r="E433" s="238" t="s">
        <v>359</v>
      </c>
      <c r="F433" s="243" t="str">
        <f t="shared" si="22"/>
        <v>2009-10 - Organic solvents</v>
      </c>
      <c r="G433" s="244">
        <v>0.4</v>
      </c>
      <c r="H433" s="244"/>
      <c r="I433" s="244" t="s">
        <v>218</v>
      </c>
      <c r="J433" s="244">
        <v>0.2</v>
      </c>
      <c r="K433" s="244">
        <v>21</v>
      </c>
      <c r="L433" s="244"/>
      <c r="M433" s="244"/>
      <c r="N433" s="244"/>
      <c r="O433" s="244"/>
      <c r="P433" s="245"/>
    </row>
    <row r="434" spans="2:16" hidden="1">
      <c r="B434" s="238" t="s">
        <v>163</v>
      </c>
      <c r="C434" s="238" t="s">
        <v>81</v>
      </c>
      <c r="D434" s="238" t="s">
        <v>228</v>
      </c>
      <c r="E434" s="238" t="s">
        <v>360</v>
      </c>
      <c r="F434" s="243" t="str">
        <f t="shared" si="22"/>
        <v>2009-10 - Pesticides</v>
      </c>
      <c r="G434" s="244">
        <v>6.43</v>
      </c>
      <c r="H434" s="244">
        <v>36</v>
      </c>
      <c r="I434" s="244" t="s">
        <v>218</v>
      </c>
      <c r="J434" s="244">
        <v>2</v>
      </c>
      <c r="K434" s="244">
        <v>26.3</v>
      </c>
      <c r="L434" s="244"/>
      <c r="M434" s="244"/>
      <c r="N434" s="244"/>
      <c r="O434" s="244"/>
      <c r="P434" s="245"/>
    </row>
    <row r="435" spans="2:16" hidden="1">
      <c r="B435" s="238" t="s">
        <v>163</v>
      </c>
      <c r="C435" s="238" t="s">
        <v>81</v>
      </c>
      <c r="D435" s="238" t="s">
        <v>231</v>
      </c>
      <c r="E435" s="238" t="s">
        <v>361</v>
      </c>
      <c r="F435" s="243" t="str">
        <f t="shared" si="22"/>
        <v>2009-10 - Oils</v>
      </c>
      <c r="G435" s="244">
        <v>3824.58</v>
      </c>
      <c r="H435" s="244">
        <v>22.2</v>
      </c>
      <c r="I435" s="244" t="s">
        <v>218</v>
      </c>
      <c r="J435" s="244">
        <v>35.020000000000003</v>
      </c>
      <c r="K435" s="244">
        <v>98.9</v>
      </c>
      <c r="L435" s="244"/>
      <c r="M435" s="244">
        <v>0.36</v>
      </c>
      <c r="N435" s="244">
        <v>58</v>
      </c>
      <c r="O435" s="244"/>
      <c r="P435" s="245"/>
    </row>
    <row r="436" spans="2:16" hidden="1">
      <c r="B436" s="238" t="s">
        <v>163</v>
      </c>
      <c r="C436" s="238" t="s">
        <v>81</v>
      </c>
      <c r="D436" s="238" t="s">
        <v>362</v>
      </c>
      <c r="E436" s="238" t="s">
        <v>363</v>
      </c>
      <c r="F436" s="243" t="str">
        <f t="shared" si="22"/>
        <v>2009-10 - Putrescible/organic waste</v>
      </c>
      <c r="G436" s="244">
        <v>3473.18</v>
      </c>
      <c r="H436" s="244"/>
      <c r="I436" s="244" t="s">
        <v>218</v>
      </c>
      <c r="J436" s="244"/>
      <c r="K436" s="244"/>
      <c r="L436" s="244"/>
      <c r="M436" s="244"/>
      <c r="N436" s="244"/>
      <c r="O436" s="244"/>
      <c r="P436" s="245"/>
    </row>
    <row r="437" spans="2:16" hidden="1">
      <c r="B437" s="238" t="s">
        <v>163</v>
      </c>
      <c r="C437" s="238" t="s">
        <v>81</v>
      </c>
      <c r="D437" s="238" t="s">
        <v>364</v>
      </c>
      <c r="E437" s="238" t="s">
        <v>365</v>
      </c>
      <c r="F437" s="243" t="str">
        <f t="shared" si="22"/>
        <v>2009-10 - Industrial washwater</v>
      </c>
      <c r="G437" s="244">
        <v>3</v>
      </c>
      <c r="H437" s="244"/>
      <c r="I437" s="244" t="s">
        <v>218</v>
      </c>
      <c r="J437" s="244"/>
      <c r="K437" s="244"/>
      <c r="L437" s="244"/>
      <c r="M437" s="244"/>
      <c r="N437" s="244"/>
      <c r="O437" s="244"/>
      <c r="P437" s="245"/>
    </row>
    <row r="438" spans="2:16" hidden="1">
      <c r="B438" s="238" t="s">
        <v>163</v>
      </c>
      <c r="C438" s="238" t="s">
        <v>81</v>
      </c>
      <c r="D438" s="238" t="s">
        <v>235</v>
      </c>
      <c r="E438" s="238" t="s">
        <v>366</v>
      </c>
      <c r="F438" s="243" t="str">
        <f t="shared" si="22"/>
        <v>2009-10 - Organic chemicals</v>
      </c>
      <c r="G438" s="244">
        <v>439</v>
      </c>
      <c r="H438" s="244">
        <v>507.91</v>
      </c>
      <c r="I438" s="244" t="s">
        <v>218</v>
      </c>
      <c r="J438" s="244">
        <v>9.08</v>
      </c>
      <c r="K438" s="244">
        <v>5.34</v>
      </c>
      <c r="L438" s="244">
        <v>0.48</v>
      </c>
      <c r="M438" s="244"/>
      <c r="N438" s="244"/>
      <c r="O438" s="244"/>
      <c r="P438" s="245"/>
    </row>
    <row r="439" spans="2:16" hidden="1">
      <c r="B439" s="238" t="s">
        <v>163</v>
      </c>
      <c r="C439" s="238" t="s">
        <v>81</v>
      </c>
      <c r="D439" s="238" t="s">
        <v>367</v>
      </c>
      <c r="E439" s="238" t="s">
        <v>368</v>
      </c>
      <c r="F439" s="243" t="str">
        <f t="shared" si="22"/>
        <v>2009-10 - Soil/sludge</v>
      </c>
      <c r="G439" s="244">
        <v>480.48</v>
      </c>
      <c r="H439" s="244">
        <v>143.5</v>
      </c>
      <c r="I439" s="244" t="s">
        <v>218</v>
      </c>
      <c r="J439" s="244">
        <v>106.89</v>
      </c>
      <c r="K439" s="244"/>
      <c r="L439" s="244"/>
      <c r="M439" s="244"/>
      <c r="N439" s="244"/>
      <c r="O439" s="244"/>
      <c r="P439" s="245"/>
    </row>
    <row r="440" spans="2:16" hidden="1">
      <c r="B440" s="238" t="s">
        <v>163</v>
      </c>
      <c r="C440" s="238" t="s">
        <v>81</v>
      </c>
      <c r="D440" s="238" t="s">
        <v>216</v>
      </c>
      <c r="E440" s="238" t="s">
        <v>369</v>
      </c>
      <c r="F440" s="243" t="str">
        <f t="shared" si="22"/>
        <v>2009-10 - Clinical &amp; pharmaceutical</v>
      </c>
      <c r="G440" s="244">
        <v>9131.48</v>
      </c>
      <c r="H440" s="244">
        <v>0.1</v>
      </c>
      <c r="I440" s="244" t="s">
        <v>218</v>
      </c>
      <c r="J440" s="244"/>
      <c r="K440" s="244"/>
      <c r="L440" s="244"/>
      <c r="M440" s="244"/>
      <c r="N440" s="244"/>
      <c r="O440" s="244"/>
      <c r="P440" s="245"/>
    </row>
    <row r="441" spans="2:16" hidden="1">
      <c r="B441" s="238" t="s">
        <v>163</v>
      </c>
      <c r="C441" s="238" t="s">
        <v>81</v>
      </c>
      <c r="D441" s="238" t="s">
        <v>370</v>
      </c>
      <c r="E441" s="238" t="s">
        <v>371</v>
      </c>
      <c r="F441" s="243" t="str">
        <f t="shared" si="22"/>
        <v>2009-10 - Misc.</v>
      </c>
      <c r="G441" s="244"/>
      <c r="H441" s="244"/>
      <c r="I441" s="244" t="s">
        <v>218</v>
      </c>
      <c r="J441" s="244"/>
      <c r="K441" s="244"/>
      <c r="L441" s="244"/>
      <c r="M441" s="244"/>
      <c r="N441" s="244"/>
      <c r="O441" s="244"/>
      <c r="P441" s="245"/>
    </row>
    <row r="442" spans="2:16" hidden="1">
      <c r="B442" s="238" t="s">
        <v>163</v>
      </c>
      <c r="C442" s="238" t="s">
        <v>82</v>
      </c>
      <c r="D442" s="238" t="s">
        <v>157</v>
      </c>
      <c r="E442" s="238" t="s">
        <v>352</v>
      </c>
      <c r="F442" s="243" t="str">
        <f t="shared" si="22"/>
        <v>2008-09 - Plating &amp; heat treatment</v>
      </c>
      <c r="G442" s="244"/>
      <c r="H442" s="244"/>
      <c r="I442" s="244" t="s">
        <v>218</v>
      </c>
      <c r="J442" s="244"/>
      <c r="K442" s="244">
        <v>2.2599999999999998</v>
      </c>
      <c r="L442" s="244"/>
      <c r="M442" s="244"/>
      <c r="N442" s="244"/>
      <c r="O442" s="244"/>
      <c r="P442" s="245"/>
    </row>
    <row r="443" spans="2:16" hidden="1">
      <c r="B443" s="238" t="s">
        <v>163</v>
      </c>
      <c r="C443" s="238" t="s">
        <v>82</v>
      </c>
      <c r="D443" s="238" t="s">
        <v>186</v>
      </c>
      <c r="E443" s="238" t="s">
        <v>353</v>
      </c>
      <c r="F443" s="243" t="str">
        <f t="shared" si="22"/>
        <v>2008-09 - Acids</v>
      </c>
      <c r="G443" s="244">
        <v>4.3</v>
      </c>
      <c r="H443" s="244">
        <v>3.91</v>
      </c>
      <c r="I443" s="244" t="s">
        <v>218</v>
      </c>
      <c r="J443" s="244"/>
      <c r="K443" s="244">
        <v>4.1900000000000004</v>
      </c>
      <c r="L443" s="244">
        <v>0.47</v>
      </c>
      <c r="M443" s="244"/>
      <c r="N443" s="244">
        <v>5.16</v>
      </c>
      <c r="O443" s="244"/>
      <c r="P443" s="245"/>
    </row>
    <row r="444" spans="2:16" hidden="1">
      <c r="B444" s="238" t="s">
        <v>163</v>
      </c>
      <c r="C444" s="238" t="s">
        <v>82</v>
      </c>
      <c r="D444" s="238" t="s">
        <v>247</v>
      </c>
      <c r="E444" s="238" t="s">
        <v>354</v>
      </c>
      <c r="F444" s="243" t="str">
        <f t="shared" si="22"/>
        <v>2008-09 - Alkalis</v>
      </c>
      <c r="G444" s="244">
        <v>214.86</v>
      </c>
      <c r="H444" s="244">
        <v>128</v>
      </c>
      <c r="I444" s="244" t="s">
        <v>218</v>
      </c>
      <c r="J444" s="244"/>
      <c r="K444" s="244"/>
      <c r="L444" s="244"/>
      <c r="M444" s="244"/>
      <c r="N444" s="244"/>
      <c r="O444" s="244"/>
      <c r="P444" s="245"/>
    </row>
    <row r="445" spans="2:16">
      <c r="B445" s="238" t="s">
        <v>163</v>
      </c>
      <c r="C445" s="238" t="s">
        <v>82</v>
      </c>
      <c r="D445" s="238" t="s">
        <v>159</v>
      </c>
      <c r="E445" s="238" t="s">
        <v>355</v>
      </c>
      <c r="F445" s="243" t="str">
        <f t="shared" si="22"/>
        <v>2008-09 - Inorganic chemicals</v>
      </c>
      <c r="G445" s="244">
        <v>167.9</v>
      </c>
      <c r="H445" s="244">
        <v>12.08</v>
      </c>
      <c r="I445" s="244" t="s">
        <v>218</v>
      </c>
      <c r="J445" s="244">
        <v>1.8</v>
      </c>
      <c r="K445" s="244">
        <v>5.33</v>
      </c>
      <c r="L445" s="244"/>
      <c r="M445" s="244"/>
      <c r="N445" s="244"/>
      <c r="O445" s="244"/>
      <c r="P445" s="245"/>
    </row>
    <row r="446" spans="2:16" hidden="1">
      <c r="B446" s="238" t="s">
        <v>163</v>
      </c>
      <c r="C446" s="238" t="s">
        <v>82</v>
      </c>
      <c r="D446" s="238" t="s">
        <v>356</v>
      </c>
      <c r="E446" s="238" t="s">
        <v>357</v>
      </c>
      <c r="F446" s="243" t="str">
        <f t="shared" si="22"/>
        <v>2008-09 - Reactive chemicals</v>
      </c>
      <c r="G446" s="244"/>
      <c r="H446" s="244"/>
      <c r="I446" s="244" t="s">
        <v>218</v>
      </c>
      <c r="J446" s="244"/>
      <c r="K446" s="244"/>
      <c r="L446" s="244"/>
      <c r="M446" s="244"/>
      <c r="N446" s="244"/>
      <c r="O446" s="244"/>
      <c r="P446" s="245"/>
    </row>
    <row r="447" spans="2:16" hidden="1">
      <c r="B447" s="238" t="s">
        <v>163</v>
      </c>
      <c r="C447" s="238" t="s">
        <v>82</v>
      </c>
      <c r="D447" s="238" t="s">
        <v>161</v>
      </c>
      <c r="E447" s="238" t="s">
        <v>358</v>
      </c>
      <c r="F447" s="243" t="str">
        <f t="shared" si="22"/>
        <v>2008-09 - Paints, resins, inks organic sludges</v>
      </c>
      <c r="G447" s="244">
        <v>156.11000000000001</v>
      </c>
      <c r="H447" s="244"/>
      <c r="I447" s="244" t="s">
        <v>218</v>
      </c>
      <c r="J447" s="244"/>
      <c r="K447" s="244"/>
      <c r="L447" s="244"/>
      <c r="M447" s="244"/>
      <c r="N447" s="244"/>
      <c r="O447" s="244"/>
      <c r="P447" s="245"/>
    </row>
    <row r="448" spans="2:16" hidden="1">
      <c r="B448" s="238" t="s">
        <v>163</v>
      </c>
      <c r="C448" s="238" t="s">
        <v>82</v>
      </c>
      <c r="D448" s="238" t="s">
        <v>219</v>
      </c>
      <c r="E448" s="238" t="s">
        <v>359</v>
      </c>
      <c r="F448" s="243" t="str">
        <f t="shared" si="22"/>
        <v>2008-09 - Organic solvents</v>
      </c>
      <c r="G448" s="244">
        <v>0.48</v>
      </c>
      <c r="H448" s="244">
        <v>18.059999999999999</v>
      </c>
      <c r="I448" s="244" t="s">
        <v>218</v>
      </c>
      <c r="J448" s="244"/>
      <c r="K448" s="244"/>
      <c r="L448" s="244"/>
      <c r="M448" s="244"/>
      <c r="N448" s="244"/>
      <c r="O448" s="244"/>
      <c r="P448" s="245"/>
    </row>
    <row r="449" spans="2:16" hidden="1">
      <c r="B449" s="238" t="s">
        <v>163</v>
      </c>
      <c r="C449" s="238" t="s">
        <v>82</v>
      </c>
      <c r="D449" s="238" t="s">
        <v>228</v>
      </c>
      <c r="E449" s="238" t="s">
        <v>360</v>
      </c>
      <c r="F449" s="243" t="str">
        <f t="shared" si="22"/>
        <v>2008-09 - Pesticides</v>
      </c>
      <c r="G449" s="244">
        <v>42.38</v>
      </c>
      <c r="H449" s="244">
        <v>6.62</v>
      </c>
      <c r="I449" s="244" t="s">
        <v>218</v>
      </c>
      <c r="J449" s="244"/>
      <c r="K449" s="244">
        <v>26.51</v>
      </c>
      <c r="L449" s="244"/>
      <c r="M449" s="244"/>
      <c r="N449" s="244"/>
      <c r="O449" s="244"/>
      <c r="P449" s="245"/>
    </row>
    <row r="450" spans="2:16" hidden="1">
      <c r="B450" s="238" t="s">
        <v>163</v>
      </c>
      <c r="C450" s="238" t="s">
        <v>82</v>
      </c>
      <c r="D450" s="238" t="s">
        <v>231</v>
      </c>
      <c r="E450" s="238" t="s">
        <v>361</v>
      </c>
      <c r="F450" s="243" t="str">
        <f t="shared" si="22"/>
        <v>2008-09 - Oils</v>
      </c>
      <c r="G450" s="244">
        <v>9134.1299999999992</v>
      </c>
      <c r="H450" s="244">
        <v>101.4</v>
      </c>
      <c r="I450" s="244" t="s">
        <v>218</v>
      </c>
      <c r="J450" s="244"/>
      <c r="K450" s="244">
        <v>119.52</v>
      </c>
      <c r="L450" s="244"/>
      <c r="M450" s="244"/>
      <c r="N450" s="244">
        <v>90.3</v>
      </c>
      <c r="O450" s="244"/>
      <c r="P450" s="245"/>
    </row>
    <row r="451" spans="2:16" hidden="1">
      <c r="B451" s="238" t="s">
        <v>163</v>
      </c>
      <c r="C451" s="238" t="s">
        <v>82</v>
      </c>
      <c r="D451" s="238" t="s">
        <v>362</v>
      </c>
      <c r="E451" s="238" t="s">
        <v>363</v>
      </c>
      <c r="F451" s="243" t="str">
        <f t="shared" si="22"/>
        <v>2008-09 - Putrescible/organic waste</v>
      </c>
      <c r="G451" s="244">
        <v>875.76</v>
      </c>
      <c r="H451" s="244"/>
      <c r="I451" s="244" t="s">
        <v>218</v>
      </c>
      <c r="J451" s="244"/>
      <c r="K451" s="244"/>
      <c r="L451" s="244"/>
      <c r="M451" s="244"/>
      <c r="N451" s="244">
        <v>0.45</v>
      </c>
      <c r="O451" s="244"/>
      <c r="P451" s="245"/>
    </row>
    <row r="452" spans="2:16" hidden="1">
      <c r="B452" s="238" t="s">
        <v>163</v>
      </c>
      <c r="C452" s="238" t="s">
        <v>82</v>
      </c>
      <c r="D452" s="238" t="s">
        <v>364</v>
      </c>
      <c r="E452" s="238" t="s">
        <v>365</v>
      </c>
      <c r="F452" s="243" t="str">
        <f t="shared" si="22"/>
        <v>2008-09 - Industrial washwater</v>
      </c>
      <c r="G452" s="244"/>
      <c r="H452" s="244"/>
      <c r="I452" s="244" t="s">
        <v>218</v>
      </c>
      <c r="J452" s="244"/>
      <c r="K452" s="244"/>
      <c r="L452" s="244"/>
      <c r="M452" s="244"/>
      <c r="N452" s="244"/>
      <c r="O452" s="244"/>
      <c r="P452" s="245"/>
    </row>
    <row r="453" spans="2:16" hidden="1">
      <c r="B453" s="238" t="s">
        <v>163</v>
      </c>
      <c r="C453" s="238" t="s">
        <v>82</v>
      </c>
      <c r="D453" s="238" t="s">
        <v>235</v>
      </c>
      <c r="E453" s="238" t="s">
        <v>366</v>
      </c>
      <c r="F453" s="243" t="str">
        <f t="shared" si="22"/>
        <v>2008-09 - Organic chemicals</v>
      </c>
      <c r="G453" s="244">
        <v>233.38</v>
      </c>
      <c r="H453" s="244">
        <v>130.87</v>
      </c>
      <c r="I453" s="244" t="s">
        <v>218</v>
      </c>
      <c r="J453" s="244"/>
      <c r="K453" s="244">
        <v>0.1</v>
      </c>
      <c r="L453" s="244">
        <v>2.74</v>
      </c>
      <c r="M453" s="244">
        <v>3.31</v>
      </c>
      <c r="N453" s="244"/>
      <c r="O453" s="244"/>
      <c r="P453" s="245"/>
    </row>
    <row r="454" spans="2:16" hidden="1">
      <c r="B454" s="238" t="s">
        <v>163</v>
      </c>
      <c r="C454" s="238" t="s">
        <v>82</v>
      </c>
      <c r="D454" s="238" t="s">
        <v>367</v>
      </c>
      <c r="E454" s="238" t="s">
        <v>368</v>
      </c>
      <c r="F454" s="243" t="str">
        <f t="shared" si="22"/>
        <v>2008-09 - Soil/sludge</v>
      </c>
      <c r="G454" s="244">
        <v>303.02</v>
      </c>
      <c r="H454" s="244">
        <v>160.62</v>
      </c>
      <c r="I454" s="244" t="s">
        <v>218</v>
      </c>
      <c r="J454" s="244"/>
      <c r="K454" s="244">
        <v>14.35</v>
      </c>
      <c r="L454" s="244">
        <v>2201</v>
      </c>
      <c r="M454" s="244"/>
      <c r="N454" s="244">
        <v>3</v>
      </c>
      <c r="O454" s="244"/>
      <c r="P454" s="245"/>
    </row>
    <row r="455" spans="2:16" hidden="1">
      <c r="B455" s="238" t="s">
        <v>163</v>
      </c>
      <c r="C455" s="238" t="s">
        <v>82</v>
      </c>
      <c r="D455" s="238" t="s">
        <v>216</v>
      </c>
      <c r="E455" s="238" t="s">
        <v>369</v>
      </c>
      <c r="F455" s="243" t="str">
        <f t="shared" si="22"/>
        <v>2008-09 - Clinical &amp; pharmaceutical</v>
      </c>
      <c r="G455" s="244">
        <v>320.52</v>
      </c>
      <c r="H455" s="244">
        <v>1808.26</v>
      </c>
      <c r="I455" s="244" t="s">
        <v>218</v>
      </c>
      <c r="J455" s="244"/>
      <c r="K455" s="244"/>
      <c r="L455" s="244"/>
      <c r="M455" s="244"/>
      <c r="N455" s="244"/>
      <c r="O455" s="244"/>
      <c r="P455" s="245"/>
    </row>
    <row r="456" spans="2:16" hidden="1">
      <c r="B456" s="238" t="s">
        <v>163</v>
      </c>
      <c r="C456" s="238" t="s">
        <v>82</v>
      </c>
      <c r="D456" s="238" t="s">
        <v>370</v>
      </c>
      <c r="E456" s="238" t="s">
        <v>371</v>
      </c>
      <c r="F456" s="243" t="str">
        <f t="shared" si="22"/>
        <v>2008-09 - Misc.</v>
      </c>
      <c r="G456" s="244">
        <v>29.5</v>
      </c>
      <c r="H456" s="244"/>
      <c r="I456" s="244" t="s">
        <v>218</v>
      </c>
      <c r="J456" s="244"/>
      <c r="K456" s="244"/>
      <c r="L456" s="244"/>
      <c r="M456" s="244"/>
      <c r="N456" s="244"/>
      <c r="O456" s="244"/>
      <c r="P456" s="245"/>
    </row>
    <row r="457" spans="2:16" hidden="1">
      <c r="B457" s="238" t="s">
        <v>163</v>
      </c>
      <c r="C457" s="238" t="s">
        <v>83</v>
      </c>
      <c r="D457" s="238" t="s">
        <v>157</v>
      </c>
      <c r="E457" s="238" t="s">
        <v>352</v>
      </c>
      <c r="F457" s="243" t="str">
        <f t="shared" si="22"/>
        <v>2007-08 - Plating &amp; heat treatment</v>
      </c>
      <c r="G457" s="244"/>
      <c r="H457" s="244"/>
      <c r="I457" s="244" t="s">
        <v>218</v>
      </c>
      <c r="J457" s="244"/>
      <c r="K457" s="244"/>
      <c r="L457" s="244"/>
      <c r="M457" s="244"/>
      <c r="N457" s="244"/>
      <c r="O457" s="244"/>
      <c r="P457" s="245"/>
    </row>
    <row r="458" spans="2:16" hidden="1">
      <c r="B458" s="238" t="s">
        <v>163</v>
      </c>
      <c r="C458" s="238" t="s">
        <v>83</v>
      </c>
      <c r="D458" s="238" t="s">
        <v>186</v>
      </c>
      <c r="E458" s="238" t="s">
        <v>353</v>
      </c>
      <c r="F458" s="243" t="str">
        <f t="shared" si="22"/>
        <v>2007-08 - Acids</v>
      </c>
      <c r="G458" s="244">
        <v>35.79</v>
      </c>
      <c r="H458" s="244">
        <v>12</v>
      </c>
      <c r="I458" s="244" t="s">
        <v>218</v>
      </c>
      <c r="J458" s="244">
        <v>1.58</v>
      </c>
      <c r="K458" s="244">
        <v>0.88</v>
      </c>
      <c r="L458" s="244">
        <v>0.45</v>
      </c>
      <c r="M458" s="244"/>
      <c r="N458" s="244">
        <v>4.6399999999999997</v>
      </c>
      <c r="O458" s="244"/>
      <c r="P458" s="245"/>
    </row>
    <row r="459" spans="2:16" hidden="1">
      <c r="B459" s="238" t="s">
        <v>163</v>
      </c>
      <c r="C459" s="238" t="s">
        <v>83</v>
      </c>
      <c r="D459" s="238" t="s">
        <v>247</v>
      </c>
      <c r="E459" s="238" t="s">
        <v>354</v>
      </c>
      <c r="F459" s="243" t="str">
        <f t="shared" si="22"/>
        <v>2007-08 - Alkalis</v>
      </c>
      <c r="G459" s="244">
        <v>82.11</v>
      </c>
      <c r="H459" s="244"/>
      <c r="I459" s="244" t="s">
        <v>218</v>
      </c>
      <c r="J459" s="244"/>
      <c r="K459" s="244"/>
      <c r="L459" s="244"/>
      <c r="M459" s="244"/>
      <c r="N459" s="244"/>
      <c r="O459" s="244"/>
      <c r="P459" s="245"/>
    </row>
    <row r="460" spans="2:16">
      <c r="B460" s="238" t="s">
        <v>163</v>
      </c>
      <c r="C460" s="238" t="s">
        <v>83</v>
      </c>
      <c r="D460" s="238" t="s">
        <v>159</v>
      </c>
      <c r="E460" s="238" t="s">
        <v>355</v>
      </c>
      <c r="F460" s="243" t="str">
        <f t="shared" si="22"/>
        <v>2007-08 - Inorganic chemicals</v>
      </c>
      <c r="G460" s="244">
        <v>721.75</v>
      </c>
      <c r="H460" s="244">
        <v>3.39</v>
      </c>
      <c r="I460" s="244" t="s">
        <v>218</v>
      </c>
      <c r="J460" s="244"/>
      <c r="K460" s="244"/>
      <c r="L460" s="244"/>
      <c r="M460" s="244"/>
      <c r="N460" s="244">
        <v>9.5299999999999994</v>
      </c>
      <c r="O460" s="244"/>
      <c r="P460" s="245"/>
    </row>
    <row r="461" spans="2:16" hidden="1">
      <c r="B461" s="238" t="s">
        <v>163</v>
      </c>
      <c r="C461" s="238" t="s">
        <v>83</v>
      </c>
      <c r="D461" s="238" t="s">
        <v>356</v>
      </c>
      <c r="E461" s="238" t="s">
        <v>357</v>
      </c>
      <c r="F461" s="243" t="str">
        <f t="shared" si="22"/>
        <v>2007-08 - Reactive chemicals</v>
      </c>
      <c r="G461" s="244">
        <v>1.49</v>
      </c>
      <c r="H461" s="244"/>
      <c r="I461" s="244" t="s">
        <v>218</v>
      </c>
      <c r="J461" s="244"/>
      <c r="K461" s="244"/>
      <c r="L461" s="244"/>
      <c r="M461" s="244"/>
      <c r="N461" s="244"/>
      <c r="O461" s="244"/>
      <c r="P461" s="245"/>
    </row>
    <row r="462" spans="2:16" hidden="1">
      <c r="B462" s="238" t="s">
        <v>163</v>
      </c>
      <c r="C462" s="238" t="s">
        <v>83</v>
      </c>
      <c r="D462" s="238" t="s">
        <v>161</v>
      </c>
      <c r="E462" s="238" t="s">
        <v>358</v>
      </c>
      <c r="F462" s="243" t="str">
        <f t="shared" si="22"/>
        <v>2007-08 - Paints, resins, inks organic sludges</v>
      </c>
      <c r="G462" s="244">
        <v>495.24</v>
      </c>
      <c r="H462" s="244"/>
      <c r="I462" s="244" t="s">
        <v>218</v>
      </c>
      <c r="J462" s="244"/>
      <c r="K462" s="244"/>
      <c r="L462" s="244"/>
      <c r="M462" s="244"/>
      <c r="N462" s="244"/>
      <c r="O462" s="244"/>
      <c r="P462" s="245"/>
    </row>
    <row r="463" spans="2:16" hidden="1">
      <c r="B463" s="238" t="s">
        <v>163</v>
      </c>
      <c r="C463" s="238" t="s">
        <v>83</v>
      </c>
      <c r="D463" s="238" t="s">
        <v>219</v>
      </c>
      <c r="E463" s="238" t="s">
        <v>359</v>
      </c>
      <c r="F463" s="243" t="str">
        <f t="shared" si="22"/>
        <v>2007-08 - Organic solvents</v>
      </c>
      <c r="G463" s="244">
        <v>0.68</v>
      </c>
      <c r="H463" s="244"/>
      <c r="I463" s="244" t="s">
        <v>218</v>
      </c>
      <c r="J463" s="244">
        <v>0.8</v>
      </c>
      <c r="K463" s="244"/>
      <c r="L463" s="244"/>
      <c r="M463" s="244"/>
      <c r="N463" s="244"/>
      <c r="O463" s="244"/>
      <c r="P463" s="245"/>
    </row>
    <row r="464" spans="2:16" hidden="1">
      <c r="B464" s="238" t="s">
        <v>163</v>
      </c>
      <c r="C464" s="238" t="s">
        <v>83</v>
      </c>
      <c r="D464" s="238" t="s">
        <v>228</v>
      </c>
      <c r="E464" s="238" t="s">
        <v>360</v>
      </c>
      <c r="F464" s="243" t="str">
        <f t="shared" si="22"/>
        <v>2007-08 - Pesticides</v>
      </c>
      <c r="G464" s="244">
        <v>33.909999999999997</v>
      </c>
      <c r="H464" s="244">
        <v>8.4</v>
      </c>
      <c r="I464" s="244" t="s">
        <v>218</v>
      </c>
      <c r="J464" s="244">
        <v>53.13</v>
      </c>
      <c r="K464" s="244"/>
      <c r="L464" s="244"/>
      <c r="M464" s="244"/>
      <c r="N464" s="244"/>
      <c r="O464" s="244"/>
      <c r="P464" s="245"/>
    </row>
    <row r="465" spans="2:16" hidden="1">
      <c r="B465" s="238" t="s">
        <v>163</v>
      </c>
      <c r="C465" s="238" t="s">
        <v>83</v>
      </c>
      <c r="D465" s="238" t="s">
        <v>231</v>
      </c>
      <c r="E465" s="238" t="s">
        <v>361</v>
      </c>
      <c r="F465" s="243" t="str">
        <f t="shared" si="22"/>
        <v>2007-08 - Oils</v>
      </c>
      <c r="G465" s="244">
        <v>5551.29</v>
      </c>
      <c r="H465" s="244">
        <v>85.28</v>
      </c>
      <c r="I465" s="244" t="s">
        <v>218</v>
      </c>
      <c r="J465" s="244"/>
      <c r="K465" s="244"/>
      <c r="L465" s="244"/>
      <c r="M465" s="244"/>
      <c r="N465" s="244">
        <v>101</v>
      </c>
      <c r="O465" s="244"/>
      <c r="P465" s="245"/>
    </row>
    <row r="466" spans="2:16" hidden="1">
      <c r="B466" s="238" t="s">
        <v>163</v>
      </c>
      <c r="C466" s="238" t="s">
        <v>83</v>
      </c>
      <c r="D466" s="238" t="s">
        <v>362</v>
      </c>
      <c r="E466" s="238" t="s">
        <v>363</v>
      </c>
      <c r="F466" s="243" t="str">
        <f t="shared" si="22"/>
        <v>2007-08 - Putrescible/organic waste</v>
      </c>
      <c r="G466" s="244">
        <v>654.86</v>
      </c>
      <c r="H466" s="244"/>
      <c r="I466" s="244" t="s">
        <v>218</v>
      </c>
      <c r="J466" s="244"/>
      <c r="K466" s="244"/>
      <c r="L466" s="244"/>
      <c r="M466" s="244"/>
      <c r="N466" s="244"/>
      <c r="O466" s="244"/>
      <c r="P466" s="245"/>
    </row>
    <row r="467" spans="2:16" hidden="1">
      <c r="B467" s="238" t="s">
        <v>163</v>
      </c>
      <c r="C467" s="238" t="s">
        <v>83</v>
      </c>
      <c r="D467" s="238" t="s">
        <v>364</v>
      </c>
      <c r="E467" s="238" t="s">
        <v>365</v>
      </c>
      <c r="F467" s="243" t="str">
        <f t="shared" si="22"/>
        <v>2007-08 - Industrial washwater</v>
      </c>
      <c r="G467" s="244"/>
      <c r="H467" s="244"/>
      <c r="I467" s="244" t="s">
        <v>218</v>
      </c>
      <c r="J467" s="244"/>
      <c r="K467" s="244"/>
      <c r="L467" s="244"/>
      <c r="M467" s="244"/>
      <c r="N467" s="244"/>
      <c r="O467" s="244"/>
      <c r="P467" s="245"/>
    </row>
    <row r="468" spans="2:16" hidden="1">
      <c r="B468" s="238" t="s">
        <v>163</v>
      </c>
      <c r="C468" s="238" t="s">
        <v>83</v>
      </c>
      <c r="D468" s="238" t="s">
        <v>235</v>
      </c>
      <c r="E468" s="238" t="s">
        <v>366</v>
      </c>
      <c r="F468" s="243" t="str">
        <f t="shared" si="22"/>
        <v>2007-08 - Organic chemicals</v>
      </c>
      <c r="G468" s="244">
        <v>302.92</v>
      </c>
      <c r="H468" s="244">
        <v>47.13</v>
      </c>
      <c r="I468" s="244" t="s">
        <v>218</v>
      </c>
      <c r="J468" s="244"/>
      <c r="K468" s="244"/>
      <c r="L468" s="244"/>
      <c r="M468" s="244"/>
      <c r="N468" s="244"/>
      <c r="O468" s="244"/>
      <c r="P468" s="245"/>
    </row>
    <row r="469" spans="2:16" hidden="1">
      <c r="B469" s="238" t="s">
        <v>163</v>
      </c>
      <c r="C469" s="238" t="s">
        <v>83</v>
      </c>
      <c r="D469" s="238" t="s">
        <v>367</v>
      </c>
      <c r="E469" s="238" t="s">
        <v>368</v>
      </c>
      <c r="F469" s="243" t="str">
        <f t="shared" si="22"/>
        <v>2007-08 - Soil/sludge</v>
      </c>
      <c r="G469" s="244">
        <v>172.67</v>
      </c>
      <c r="H469" s="244">
        <v>10.85</v>
      </c>
      <c r="I469" s="244" t="s">
        <v>218</v>
      </c>
      <c r="J469" s="244">
        <v>18.5</v>
      </c>
      <c r="K469" s="244">
        <v>1103.6199999999999</v>
      </c>
      <c r="L469" s="244"/>
      <c r="M469" s="244"/>
      <c r="N469" s="244"/>
      <c r="O469" s="244"/>
      <c r="P469" s="245"/>
    </row>
    <row r="470" spans="2:16" hidden="1">
      <c r="B470" s="238" t="s">
        <v>163</v>
      </c>
      <c r="C470" s="238" t="s">
        <v>83</v>
      </c>
      <c r="D470" s="238" t="s">
        <v>216</v>
      </c>
      <c r="E470" s="238" t="s">
        <v>369</v>
      </c>
      <c r="F470" s="243" t="str">
        <f t="shared" si="22"/>
        <v>2007-08 - Clinical &amp; pharmaceutical</v>
      </c>
      <c r="G470" s="244">
        <v>290.60000000000002</v>
      </c>
      <c r="H470" s="244">
        <v>1553.76</v>
      </c>
      <c r="I470" s="244" t="s">
        <v>218</v>
      </c>
      <c r="J470" s="244"/>
      <c r="K470" s="244"/>
      <c r="L470" s="244"/>
      <c r="M470" s="244"/>
      <c r="N470" s="244"/>
      <c r="O470" s="244"/>
      <c r="P470" s="245"/>
    </row>
    <row r="471" spans="2:16" hidden="1">
      <c r="B471" s="238" t="s">
        <v>163</v>
      </c>
      <c r="C471" s="238" t="s">
        <v>83</v>
      </c>
      <c r="D471" s="238" t="s">
        <v>370</v>
      </c>
      <c r="E471" s="238" t="s">
        <v>371</v>
      </c>
      <c r="F471" s="243" t="str">
        <f t="shared" si="22"/>
        <v>2007-08 - Misc.</v>
      </c>
      <c r="G471" s="244"/>
      <c r="H471" s="244"/>
      <c r="I471" s="244" t="s">
        <v>218</v>
      </c>
      <c r="J471" s="244"/>
      <c r="K471" s="244"/>
      <c r="L471" s="244"/>
      <c r="M471" s="244"/>
      <c r="N471" s="244"/>
      <c r="O471" s="244"/>
      <c r="P471" s="245"/>
    </row>
    <row r="472" spans="2:16" hidden="1">
      <c r="B472" s="238" t="s">
        <v>163</v>
      </c>
      <c r="C472" s="238" t="s">
        <v>86</v>
      </c>
      <c r="D472" s="238" t="s">
        <v>157</v>
      </c>
      <c r="E472" s="238" t="s">
        <v>352</v>
      </c>
      <c r="F472" s="243" t="str">
        <f t="shared" si="22"/>
        <v>2006-07 - Plating &amp; heat treatment</v>
      </c>
      <c r="G472" s="244"/>
      <c r="H472" s="244"/>
      <c r="I472" s="244" t="s">
        <v>218</v>
      </c>
      <c r="J472" s="244"/>
      <c r="K472" s="244"/>
      <c r="L472" s="244"/>
      <c r="M472" s="244"/>
      <c r="N472" s="244"/>
      <c r="O472" s="244"/>
      <c r="P472" s="245"/>
    </row>
    <row r="473" spans="2:16" hidden="1">
      <c r="B473" s="238" t="s">
        <v>163</v>
      </c>
      <c r="C473" s="238" t="s">
        <v>86</v>
      </c>
      <c r="D473" s="238" t="s">
        <v>186</v>
      </c>
      <c r="E473" s="238" t="s">
        <v>353</v>
      </c>
      <c r="F473" s="243" t="str">
        <f t="shared" si="22"/>
        <v>2006-07 - Acids</v>
      </c>
      <c r="G473" s="244">
        <v>75.3</v>
      </c>
      <c r="H473" s="244"/>
      <c r="I473" s="244" t="s">
        <v>218</v>
      </c>
      <c r="J473" s="244"/>
      <c r="K473" s="244"/>
      <c r="L473" s="244"/>
      <c r="M473" s="244"/>
      <c r="N473" s="244">
        <v>0.25</v>
      </c>
      <c r="O473" s="244"/>
      <c r="P473" s="245"/>
    </row>
    <row r="474" spans="2:16" hidden="1">
      <c r="B474" s="238" t="s">
        <v>163</v>
      </c>
      <c r="C474" s="238" t="s">
        <v>86</v>
      </c>
      <c r="D474" s="238" t="s">
        <v>247</v>
      </c>
      <c r="E474" s="238" t="s">
        <v>354</v>
      </c>
      <c r="F474" s="243" t="str">
        <f t="shared" si="22"/>
        <v>2006-07 - Alkalis</v>
      </c>
      <c r="G474" s="244">
        <v>32.22</v>
      </c>
      <c r="H474" s="244"/>
      <c r="I474" s="244" t="s">
        <v>218</v>
      </c>
      <c r="J474" s="244"/>
      <c r="K474" s="244"/>
      <c r="L474" s="244"/>
      <c r="M474" s="244"/>
      <c r="N474" s="244"/>
      <c r="O474" s="244"/>
      <c r="P474" s="245"/>
    </row>
    <row r="475" spans="2:16">
      <c r="B475" s="238" t="s">
        <v>163</v>
      </c>
      <c r="C475" s="238" t="s">
        <v>86</v>
      </c>
      <c r="D475" s="238" t="s">
        <v>159</v>
      </c>
      <c r="E475" s="238" t="s">
        <v>355</v>
      </c>
      <c r="F475" s="243" t="str">
        <f t="shared" si="22"/>
        <v>2006-07 - Inorganic chemicals</v>
      </c>
      <c r="G475" s="244">
        <v>107.91</v>
      </c>
      <c r="H475" s="244">
        <v>29.13</v>
      </c>
      <c r="I475" s="244" t="s">
        <v>218</v>
      </c>
      <c r="J475" s="244">
        <v>1.78</v>
      </c>
      <c r="K475" s="244">
        <v>1.89</v>
      </c>
      <c r="L475" s="244">
        <v>1.4</v>
      </c>
      <c r="M475" s="244"/>
      <c r="N475" s="244"/>
      <c r="O475" s="244"/>
      <c r="P475" s="245"/>
    </row>
    <row r="476" spans="2:16" hidden="1">
      <c r="B476" s="238" t="s">
        <v>163</v>
      </c>
      <c r="C476" s="238" t="s">
        <v>86</v>
      </c>
      <c r="D476" s="238" t="s">
        <v>356</v>
      </c>
      <c r="E476" s="238" t="s">
        <v>357</v>
      </c>
      <c r="F476" s="243" t="str">
        <f t="shared" si="22"/>
        <v>2006-07 - Reactive chemicals</v>
      </c>
      <c r="G476" s="244"/>
      <c r="H476" s="244">
        <v>2.68</v>
      </c>
      <c r="I476" s="244" t="s">
        <v>218</v>
      </c>
      <c r="J476" s="244"/>
      <c r="K476" s="244"/>
      <c r="L476" s="244"/>
      <c r="M476" s="244"/>
      <c r="N476" s="244"/>
      <c r="O476" s="244"/>
      <c r="P476" s="245"/>
    </row>
    <row r="477" spans="2:16" hidden="1">
      <c r="B477" s="238" t="s">
        <v>163</v>
      </c>
      <c r="C477" s="238" t="s">
        <v>86</v>
      </c>
      <c r="D477" s="238" t="s">
        <v>161</v>
      </c>
      <c r="E477" s="238" t="s">
        <v>358</v>
      </c>
      <c r="F477" s="243" t="str">
        <f t="shared" si="22"/>
        <v>2006-07 - Paints, resins, inks organic sludges</v>
      </c>
      <c r="G477" s="244">
        <v>714.3</v>
      </c>
      <c r="H477" s="244"/>
      <c r="I477" s="244" t="s">
        <v>218</v>
      </c>
      <c r="J477" s="244"/>
      <c r="K477" s="244"/>
      <c r="L477" s="244"/>
      <c r="M477" s="244"/>
      <c r="N477" s="244"/>
      <c r="O477" s="244"/>
      <c r="P477" s="245"/>
    </row>
    <row r="478" spans="2:16" hidden="1">
      <c r="B478" s="238" t="s">
        <v>163</v>
      </c>
      <c r="C478" s="238" t="s">
        <v>86</v>
      </c>
      <c r="D478" s="238" t="s">
        <v>219</v>
      </c>
      <c r="E478" s="238" t="s">
        <v>359</v>
      </c>
      <c r="F478" s="243" t="str">
        <f t="shared" si="22"/>
        <v>2006-07 - Organic solvents</v>
      </c>
      <c r="G478" s="244"/>
      <c r="H478" s="244"/>
      <c r="I478" s="244" t="s">
        <v>218</v>
      </c>
      <c r="J478" s="244"/>
      <c r="K478" s="244"/>
      <c r="L478" s="244"/>
      <c r="M478" s="244"/>
      <c r="N478" s="244"/>
      <c r="O478" s="244"/>
      <c r="P478" s="245"/>
    </row>
    <row r="479" spans="2:16" hidden="1">
      <c r="B479" s="238" t="s">
        <v>163</v>
      </c>
      <c r="C479" s="238" t="s">
        <v>86</v>
      </c>
      <c r="D479" s="238" t="s">
        <v>228</v>
      </c>
      <c r="E479" s="238" t="s">
        <v>360</v>
      </c>
      <c r="F479" s="243" t="str">
        <f t="shared" si="22"/>
        <v>2006-07 - Pesticides</v>
      </c>
      <c r="G479" s="244">
        <v>14.75</v>
      </c>
      <c r="H479" s="244">
        <v>30.1</v>
      </c>
      <c r="I479" s="244" t="s">
        <v>218</v>
      </c>
      <c r="J479" s="244"/>
      <c r="K479" s="244"/>
      <c r="L479" s="244"/>
      <c r="M479" s="244"/>
      <c r="N479" s="244"/>
      <c r="O479" s="244"/>
      <c r="P479" s="245"/>
    </row>
    <row r="480" spans="2:16" hidden="1">
      <c r="B480" s="238" t="s">
        <v>163</v>
      </c>
      <c r="C480" s="238" t="s">
        <v>86</v>
      </c>
      <c r="D480" s="238" t="s">
        <v>231</v>
      </c>
      <c r="E480" s="238" t="s">
        <v>361</v>
      </c>
      <c r="F480" s="243" t="str">
        <f t="shared" si="22"/>
        <v>2006-07 - Oils</v>
      </c>
      <c r="G480" s="244">
        <v>3869.05</v>
      </c>
      <c r="H480" s="244"/>
      <c r="I480" s="244" t="s">
        <v>218</v>
      </c>
      <c r="J480" s="244"/>
      <c r="K480" s="244"/>
      <c r="L480" s="244"/>
      <c r="M480" s="244"/>
      <c r="N480" s="244"/>
      <c r="O480" s="244"/>
      <c r="P480" s="245"/>
    </row>
    <row r="481" spans="2:16" hidden="1">
      <c r="B481" s="238" t="s">
        <v>163</v>
      </c>
      <c r="C481" s="238" t="s">
        <v>86</v>
      </c>
      <c r="D481" s="238" t="s">
        <v>362</v>
      </c>
      <c r="E481" s="238" t="s">
        <v>363</v>
      </c>
      <c r="F481" s="243" t="str">
        <f t="shared" si="22"/>
        <v>2006-07 - Putrescible/organic waste</v>
      </c>
      <c r="G481" s="244">
        <v>1205.17</v>
      </c>
      <c r="H481" s="244"/>
      <c r="I481" s="244" t="s">
        <v>218</v>
      </c>
      <c r="J481" s="244"/>
      <c r="K481" s="244"/>
      <c r="L481" s="244"/>
      <c r="M481" s="244"/>
      <c r="N481" s="244"/>
      <c r="O481" s="244"/>
      <c r="P481" s="245"/>
    </row>
    <row r="482" spans="2:16" hidden="1">
      <c r="B482" s="238" t="s">
        <v>163</v>
      </c>
      <c r="C482" s="238" t="s">
        <v>86</v>
      </c>
      <c r="D482" s="238" t="s">
        <v>364</v>
      </c>
      <c r="E482" s="238" t="s">
        <v>365</v>
      </c>
      <c r="F482" s="243" t="str">
        <f t="shared" si="22"/>
        <v>2006-07 - Industrial washwater</v>
      </c>
      <c r="G482" s="244"/>
      <c r="H482" s="244"/>
      <c r="I482" s="244" t="s">
        <v>218</v>
      </c>
      <c r="J482" s="244"/>
      <c r="K482" s="244"/>
      <c r="L482" s="244"/>
      <c r="M482" s="244"/>
      <c r="N482" s="244"/>
      <c r="O482" s="244"/>
      <c r="P482" s="245"/>
    </row>
    <row r="483" spans="2:16" hidden="1">
      <c r="B483" s="238" t="s">
        <v>163</v>
      </c>
      <c r="C483" s="238" t="s">
        <v>86</v>
      </c>
      <c r="D483" s="238" t="s">
        <v>235</v>
      </c>
      <c r="E483" s="238" t="s">
        <v>366</v>
      </c>
      <c r="F483" s="243" t="str">
        <f t="shared" si="22"/>
        <v>2006-07 - Organic chemicals</v>
      </c>
      <c r="G483" s="244">
        <v>543.76</v>
      </c>
      <c r="H483" s="244">
        <v>117.7</v>
      </c>
      <c r="I483" s="244" t="s">
        <v>218</v>
      </c>
      <c r="J483" s="244">
        <v>3.2</v>
      </c>
      <c r="K483" s="244">
        <v>37.61</v>
      </c>
      <c r="L483" s="244">
        <v>0.13</v>
      </c>
      <c r="M483" s="244"/>
      <c r="N483" s="244">
        <v>4.8</v>
      </c>
      <c r="O483" s="244"/>
      <c r="P483" s="245"/>
    </row>
    <row r="484" spans="2:16" hidden="1">
      <c r="B484" s="238" t="s">
        <v>163</v>
      </c>
      <c r="C484" s="238" t="s">
        <v>86</v>
      </c>
      <c r="D484" s="238" t="s">
        <v>367</v>
      </c>
      <c r="E484" s="238" t="s">
        <v>368</v>
      </c>
      <c r="F484" s="243" t="str">
        <f t="shared" si="22"/>
        <v>2006-07 - Soil/sludge</v>
      </c>
      <c r="G484" s="244">
        <v>271.88</v>
      </c>
      <c r="H484" s="244">
        <v>6.05</v>
      </c>
      <c r="I484" s="244" t="s">
        <v>218</v>
      </c>
      <c r="J484" s="244"/>
      <c r="K484" s="244"/>
      <c r="L484" s="244"/>
      <c r="M484" s="244"/>
      <c r="N484" s="244">
        <v>0.2</v>
      </c>
      <c r="O484" s="244"/>
      <c r="P484" s="245"/>
    </row>
    <row r="485" spans="2:16" hidden="1">
      <c r="B485" s="238" t="s">
        <v>163</v>
      </c>
      <c r="C485" s="238" t="s">
        <v>86</v>
      </c>
      <c r="D485" s="238" t="s">
        <v>216</v>
      </c>
      <c r="E485" s="238" t="s">
        <v>369</v>
      </c>
      <c r="F485" s="243" t="str">
        <f t="shared" si="22"/>
        <v>2006-07 - Clinical &amp; pharmaceutical</v>
      </c>
      <c r="G485" s="244">
        <v>324.97000000000003</v>
      </c>
      <c r="H485" s="244">
        <v>1388.38</v>
      </c>
      <c r="I485" s="244" t="s">
        <v>218</v>
      </c>
      <c r="J485" s="244"/>
      <c r="K485" s="244"/>
      <c r="L485" s="244"/>
      <c r="M485" s="244"/>
      <c r="N485" s="244"/>
      <c r="O485" s="244"/>
      <c r="P485" s="245"/>
    </row>
    <row r="486" spans="2:16" hidden="1">
      <c r="B486" s="238" t="s">
        <v>163</v>
      </c>
      <c r="C486" s="238" t="s">
        <v>86</v>
      </c>
      <c r="D486" s="238" t="s">
        <v>370</v>
      </c>
      <c r="E486" s="238" t="s">
        <v>371</v>
      </c>
      <c r="F486" s="243" t="str">
        <f t="shared" si="22"/>
        <v>2006-07 - Misc.</v>
      </c>
      <c r="G486" s="244"/>
      <c r="H486" s="244"/>
      <c r="I486" s="244" t="s">
        <v>218</v>
      </c>
      <c r="J486" s="244"/>
      <c r="K486" s="244"/>
      <c r="L486" s="244"/>
      <c r="M486" s="244"/>
      <c r="N486" s="244"/>
      <c r="O486" s="244"/>
      <c r="P486" s="245"/>
    </row>
    <row r="487" spans="2:16" hidden="1">
      <c r="B487" s="238" t="s">
        <v>110</v>
      </c>
      <c r="C487" s="238" t="s">
        <v>78</v>
      </c>
      <c r="D487" s="238" t="s">
        <v>157</v>
      </c>
      <c r="E487" s="238" t="s">
        <v>352</v>
      </c>
      <c r="F487" s="243" t="str">
        <f t="shared" si="22"/>
        <v>2012-13 - Plating &amp; heat treatment</v>
      </c>
      <c r="G487" s="244"/>
      <c r="H487" s="244"/>
      <c r="I487" s="244"/>
      <c r="J487" s="244" t="s">
        <v>218</v>
      </c>
      <c r="K487" s="244"/>
      <c r="L487" s="244"/>
      <c r="M487" s="244"/>
      <c r="N487" s="244"/>
      <c r="O487" s="244"/>
      <c r="P487" s="245"/>
    </row>
    <row r="488" spans="2:16" hidden="1">
      <c r="B488" s="238" t="s">
        <v>110</v>
      </c>
      <c r="C488" s="238" t="s">
        <v>78</v>
      </c>
      <c r="D488" s="238" t="s">
        <v>186</v>
      </c>
      <c r="E488" s="238" t="s">
        <v>353</v>
      </c>
      <c r="F488" s="243" t="str">
        <f t="shared" si="22"/>
        <v>2012-13 - Acids</v>
      </c>
      <c r="G488" s="244"/>
      <c r="H488" s="244"/>
      <c r="I488" s="244"/>
      <c r="J488" s="244" t="s">
        <v>218</v>
      </c>
      <c r="K488" s="244"/>
      <c r="L488" s="244"/>
      <c r="M488" s="244"/>
      <c r="N488" s="244"/>
      <c r="O488" s="244"/>
      <c r="P488" s="245"/>
    </row>
    <row r="489" spans="2:16" hidden="1">
      <c r="B489" s="238" t="s">
        <v>110</v>
      </c>
      <c r="C489" s="238" t="s">
        <v>78</v>
      </c>
      <c r="D489" s="238" t="s">
        <v>247</v>
      </c>
      <c r="E489" s="238" t="s">
        <v>354</v>
      </c>
      <c r="F489" s="243" t="str">
        <f t="shared" si="22"/>
        <v>2012-13 - Alkalis</v>
      </c>
      <c r="G489" s="244"/>
      <c r="H489" s="244"/>
      <c r="I489" s="244"/>
      <c r="J489" s="244" t="s">
        <v>218</v>
      </c>
      <c r="K489" s="244"/>
      <c r="L489" s="244"/>
      <c r="M489" s="244"/>
      <c r="N489" s="244"/>
      <c r="O489" s="244"/>
      <c r="P489" s="245"/>
    </row>
    <row r="490" spans="2:16">
      <c r="B490" s="238" t="s">
        <v>110</v>
      </c>
      <c r="C490" s="238" t="s">
        <v>78</v>
      </c>
      <c r="D490" s="238" t="s">
        <v>159</v>
      </c>
      <c r="E490" s="238" t="s">
        <v>355</v>
      </c>
      <c r="F490" s="243" t="str">
        <f t="shared" si="22"/>
        <v>2012-13 - Inorganic chemicals</v>
      </c>
      <c r="G490" s="244"/>
      <c r="H490" s="244"/>
      <c r="I490" s="244"/>
      <c r="J490" s="244" t="s">
        <v>218</v>
      </c>
      <c r="K490" s="244"/>
      <c r="L490" s="244"/>
      <c r="M490" s="244"/>
      <c r="N490" s="244"/>
      <c r="O490" s="244"/>
      <c r="P490" s="245"/>
    </row>
    <row r="491" spans="2:16" hidden="1">
      <c r="B491" s="238" t="s">
        <v>110</v>
      </c>
      <c r="C491" s="238" t="s">
        <v>78</v>
      </c>
      <c r="D491" s="238" t="s">
        <v>356</v>
      </c>
      <c r="E491" s="238" t="s">
        <v>357</v>
      </c>
      <c r="F491" s="243" t="str">
        <f t="shared" si="22"/>
        <v>2012-13 - Reactive chemicals</v>
      </c>
      <c r="G491" s="244"/>
      <c r="H491" s="244"/>
      <c r="I491" s="244"/>
      <c r="J491" s="244" t="s">
        <v>218</v>
      </c>
      <c r="K491" s="244"/>
      <c r="L491" s="244"/>
      <c r="M491" s="244"/>
      <c r="N491" s="244"/>
      <c r="O491" s="244"/>
      <c r="P491" s="245"/>
    </row>
    <row r="492" spans="2:16" hidden="1">
      <c r="B492" s="238" t="s">
        <v>110</v>
      </c>
      <c r="C492" s="238" t="s">
        <v>78</v>
      </c>
      <c r="D492" s="238" t="s">
        <v>161</v>
      </c>
      <c r="E492" s="238" t="s">
        <v>358</v>
      </c>
      <c r="F492" s="243" t="str">
        <f t="shared" ref="F492:F555" si="23">CONCATENATE(C492," - ",E492)</f>
        <v>2012-13 - Paints, resins, inks organic sludges</v>
      </c>
      <c r="G492" s="244"/>
      <c r="H492" s="244"/>
      <c r="I492" s="244"/>
      <c r="J492" s="244" t="s">
        <v>218</v>
      </c>
      <c r="K492" s="244"/>
      <c r="L492" s="244"/>
      <c r="M492" s="244"/>
      <c r="N492" s="244"/>
      <c r="O492" s="244"/>
      <c r="P492" s="245"/>
    </row>
    <row r="493" spans="2:16" hidden="1">
      <c r="B493" s="238" t="s">
        <v>110</v>
      </c>
      <c r="C493" s="238" t="s">
        <v>78</v>
      </c>
      <c r="D493" s="238" t="s">
        <v>219</v>
      </c>
      <c r="E493" s="238" t="s">
        <v>359</v>
      </c>
      <c r="F493" s="243" t="str">
        <f t="shared" si="23"/>
        <v>2012-13 - Organic solvents</v>
      </c>
      <c r="G493" s="244"/>
      <c r="H493" s="244"/>
      <c r="I493" s="244"/>
      <c r="J493" s="244" t="s">
        <v>218</v>
      </c>
      <c r="K493" s="244"/>
      <c r="L493" s="244"/>
      <c r="M493" s="244"/>
      <c r="N493" s="244"/>
      <c r="O493" s="244"/>
      <c r="P493" s="245"/>
    </row>
    <row r="494" spans="2:16" hidden="1">
      <c r="B494" s="238" t="s">
        <v>110</v>
      </c>
      <c r="C494" s="238" t="s">
        <v>78</v>
      </c>
      <c r="D494" s="238" t="s">
        <v>228</v>
      </c>
      <c r="E494" s="238" t="s">
        <v>360</v>
      </c>
      <c r="F494" s="243" t="str">
        <f t="shared" si="23"/>
        <v>2012-13 - Pesticides</v>
      </c>
      <c r="G494" s="244"/>
      <c r="H494" s="244"/>
      <c r="I494" s="244"/>
      <c r="J494" s="244" t="s">
        <v>218</v>
      </c>
      <c r="K494" s="244"/>
      <c r="L494" s="244"/>
      <c r="M494" s="244"/>
      <c r="N494" s="244"/>
      <c r="O494" s="244"/>
      <c r="P494" s="245"/>
    </row>
    <row r="495" spans="2:16" hidden="1">
      <c r="B495" s="238" t="s">
        <v>110</v>
      </c>
      <c r="C495" s="238" t="s">
        <v>78</v>
      </c>
      <c r="D495" s="238" t="s">
        <v>231</v>
      </c>
      <c r="E495" s="238" t="s">
        <v>361</v>
      </c>
      <c r="F495" s="243" t="str">
        <f t="shared" si="23"/>
        <v>2012-13 - Oils</v>
      </c>
      <c r="G495" s="244"/>
      <c r="H495" s="244"/>
      <c r="I495" s="244"/>
      <c r="J495" s="244" t="s">
        <v>218</v>
      </c>
      <c r="K495" s="244"/>
      <c r="L495" s="244"/>
      <c r="M495" s="244"/>
      <c r="N495" s="244"/>
      <c r="O495" s="244"/>
      <c r="P495" s="245"/>
    </row>
    <row r="496" spans="2:16" hidden="1">
      <c r="B496" s="238" t="s">
        <v>110</v>
      </c>
      <c r="C496" s="238" t="s">
        <v>78</v>
      </c>
      <c r="D496" s="238" t="s">
        <v>362</v>
      </c>
      <c r="E496" s="238" t="s">
        <v>363</v>
      </c>
      <c r="F496" s="243" t="str">
        <f t="shared" si="23"/>
        <v>2012-13 - Putrescible/organic waste</v>
      </c>
      <c r="G496" s="244"/>
      <c r="H496" s="244"/>
      <c r="I496" s="244"/>
      <c r="J496" s="244" t="s">
        <v>218</v>
      </c>
      <c r="K496" s="244"/>
      <c r="L496" s="244"/>
      <c r="M496" s="244"/>
      <c r="N496" s="244"/>
      <c r="O496" s="244"/>
      <c r="P496" s="245"/>
    </row>
    <row r="497" spans="2:16" hidden="1">
      <c r="B497" s="238" t="s">
        <v>110</v>
      </c>
      <c r="C497" s="238" t="s">
        <v>78</v>
      </c>
      <c r="D497" s="238" t="s">
        <v>364</v>
      </c>
      <c r="E497" s="238" t="s">
        <v>365</v>
      </c>
      <c r="F497" s="243" t="str">
        <f t="shared" si="23"/>
        <v>2012-13 - Industrial washwater</v>
      </c>
      <c r="G497" s="244"/>
      <c r="H497" s="244"/>
      <c r="I497" s="244"/>
      <c r="J497" s="244" t="s">
        <v>218</v>
      </c>
      <c r="K497" s="244"/>
      <c r="L497" s="244"/>
      <c r="M497" s="244"/>
      <c r="N497" s="244"/>
      <c r="O497" s="244"/>
      <c r="P497" s="245"/>
    </row>
    <row r="498" spans="2:16" hidden="1">
      <c r="B498" s="238" t="s">
        <v>110</v>
      </c>
      <c r="C498" s="238" t="s">
        <v>78</v>
      </c>
      <c r="D498" s="238" t="s">
        <v>235</v>
      </c>
      <c r="E498" s="238" t="s">
        <v>366</v>
      </c>
      <c r="F498" s="243" t="str">
        <f t="shared" si="23"/>
        <v>2012-13 - Organic chemicals</v>
      </c>
      <c r="G498" s="244"/>
      <c r="H498" s="244"/>
      <c r="I498" s="244"/>
      <c r="J498" s="244" t="s">
        <v>218</v>
      </c>
      <c r="K498" s="244"/>
      <c r="L498" s="244"/>
      <c r="M498" s="244"/>
      <c r="N498" s="244"/>
      <c r="O498" s="244"/>
      <c r="P498" s="245"/>
    </row>
    <row r="499" spans="2:16" hidden="1">
      <c r="B499" s="238" t="s">
        <v>110</v>
      </c>
      <c r="C499" s="238" t="s">
        <v>78</v>
      </c>
      <c r="D499" s="238" t="s">
        <v>367</v>
      </c>
      <c r="E499" s="238" t="s">
        <v>368</v>
      </c>
      <c r="F499" s="243" t="str">
        <f t="shared" si="23"/>
        <v>2012-13 - Soil/sludge</v>
      </c>
      <c r="G499" s="244"/>
      <c r="H499" s="244"/>
      <c r="I499" s="244"/>
      <c r="J499" s="244" t="s">
        <v>218</v>
      </c>
      <c r="K499" s="244"/>
      <c r="L499" s="244"/>
      <c r="M499" s="244"/>
      <c r="N499" s="244"/>
      <c r="O499" s="244"/>
      <c r="P499" s="245"/>
    </row>
    <row r="500" spans="2:16" hidden="1">
      <c r="B500" s="238" t="s">
        <v>110</v>
      </c>
      <c r="C500" s="238" t="s">
        <v>78</v>
      </c>
      <c r="D500" s="238" t="s">
        <v>216</v>
      </c>
      <c r="E500" s="238" t="s">
        <v>369</v>
      </c>
      <c r="F500" s="243" t="str">
        <f t="shared" si="23"/>
        <v>2012-13 - Clinical &amp; pharmaceutical</v>
      </c>
      <c r="G500" s="244"/>
      <c r="H500" s="244"/>
      <c r="I500" s="244"/>
      <c r="J500" s="244" t="s">
        <v>218</v>
      </c>
      <c r="K500" s="244"/>
      <c r="L500" s="244"/>
      <c r="M500" s="244"/>
      <c r="N500" s="244"/>
      <c r="O500" s="244"/>
      <c r="P500" s="245"/>
    </row>
    <row r="501" spans="2:16" hidden="1">
      <c r="B501" s="238" t="s">
        <v>110</v>
      </c>
      <c r="C501" s="238" t="s">
        <v>78</v>
      </c>
      <c r="D501" s="238" t="s">
        <v>370</v>
      </c>
      <c r="E501" s="238" t="s">
        <v>371</v>
      </c>
      <c r="F501" s="243" t="str">
        <f t="shared" si="23"/>
        <v>2012-13 - Misc.</v>
      </c>
      <c r="G501" s="244"/>
      <c r="H501" s="244"/>
      <c r="I501" s="244"/>
      <c r="J501" s="244" t="s">
        <v>218</v>
      </c>
      <c r="K501" s="244"/>
      <c r="L501" s="244"/>
      <c r="M501" s="244"/>
      <c r="N501" s="244"/>
      <c r="O501" s="244"/>
      <c r="P501" s="245"/>
    </row>
    <row r="502" spans="2:16" hidden="1">
      <c r="B502" s="238" t="s">
        <v>110</v>
      </c>
      <c r="C502" s="238" t="s">
        <v>79</v>
      </c>
      <c r="D502" s="238" t="s">
        <v>157</v>
      </c>
      <c r="E502" s="238" t="s">
        <v>352</v>
      </c>
      <c r="F502" s="243" t="str">
        <f t="shared" si="23"/>
        <v>2011-12 - Plating &amp; heat treatment</v>
      </c>
      <c r="G502" s="244">
        <v>0</v>
      </c>
      <c r="H502" s="244">
        <v>0</v>
      </c>
      <c r="I502" s="244">
        <v>0</v>
      </c>
      <c r="J502" s="244" t="s">
        <v>218</v>
      </c>
      <c r="K502" s="244">
        <v>0</v>
      </c>
      <c r="L502" s="244">
        <v>0</v>
      </c>
      <c r="M502" s="244">
        <v>0</v>
      </c>
      <c r="N502" s="244">
        <v>0</v>
      </c>
      <c r="O502" s="244">
        <v>0</v>
      </c>
      <c r="P502" s="245"/>
    </row>
    <row r="503" spans="2:16" hidden="1">
      <c r="B503" s="238" t="s">
        <v>110</v>
      </c>
      <c r="C503" s="238" t="s">
        <v>79</v>
      </c>
      <c r="D503" s="238" t="s">
        <v>186</v>
      </c>
      <c r="E503" s="238" t="s">
        <v>353</v>
      </c>
      <c r="F503" s="243" t="str">
        <f t="shared" si="23"/>
        <v>2011-12 - Acids</v>
      </c>
      <c r="G503" s="244">
        <v>0</v>
      </c>
      <c r="H503" s="244">
        <v>0</v>
      </c>
      <c r="I503" s="244">
        <v>0</v>
      </c>
      <c r="J503" s="244" t="s">
        <v>218</v>
      </c>
      <c r="K503" s="244">
        <v>0</v>
      </c>
      <c r="L503" s="244">
        <v>0</v>
      </c>
      <c r="M503" s="244">
        <v>0</v>
      </c>
      <c r="N503" s="244">
        <v>0</v>
      </c>
      <c r="O503" s="244">
        <v>0</v>
      </c>
      <c r="P503" s="245"/>
    </row>
    <row r="504" spans="2:16" hidden="1">
      <c r="B504" s="238" t="s">
        <v>110</v>
      </c>
      <c r="C504" s="238" t="s">
        <v>79</v>
      </c>
      <c r="D504" s="238" t="s">
        <v>247</v>
      </c>
      <c r="E504" s="238" t="s">
        <v>354</v>
      </c>
      <c r="F504" s="243" t="str">
        <f t="shared" si="23"/>
        <v>2011-12 - Alkalis</v>
      </c>
      <c r="G504" s="244">
        <v>0</v>
      </c>
      <c r="H504" s="244">
        <v>0</v>
      </c>
      <c r="I504" s="244">
        <v>0</v>
      </c>
      <c r="J504" s="244" t="s">
        <v>218</v>
      </c>
      <c r="K504" s="244">
        <v>0</v>
      </c>
      <c r="L504" s="244">
        <v>0</v>
      </c>
      <c r="M504" s="244">
        <v>0</v>
      </c>
      <c r="N504" s="244">
        <v>0</v>
      </c>
      <c r="O504" s="244">
        <v>0</v>
      </c>
      <c r="P504" s="245"/>
    </row>
    <row r="505" spans="2:16">
      <c r="B505" s="238" t="s">
        <v>110</v>
      </c>
      <c r="C505" s="238" t="s">
        <v>79</v>
      </c>
      <c r="D505" s="238" t="s">
        <v>159</v>
      </c>
      <c r="E505" s="238" t="s">
        <v>355</v>
      </c>
      <c r="F505" s="243" t="str">
        <f t="shared" si="23"/>
        <v>2011-12 - Inorganic chemicals</v>
      </c>
      <c r="G505" s="244">
        <v>0</v>
      </c>
      <c r="H505" s="244">
        <v>0</v>
      </c>
      <c r="I505" s="244">
        <v>0</v>
      </c>
      <c r="J505" s="244" t="s">
        <v>218</v>
      </c>
      <c r="K505" s="244">
        <v>0</v>
      </c>
      <c r="L505" s="244">
        <v>0</v>
      </c>
      <c r="M505" s="244">
        <v>0</v>
      </c>
      <c r="N505" s="244">
        <v>0</v>
      </c>
      <c r="O505" s="244">
        <v>0</v>
      </c>
      <c r="P505" s="245"/>
    </row>
    <row r="506" spans="2:16" hidden="1">
      <c r="B506" s="238" t="s">
        <v>110</v>
      </c>
      <c r="C506" s="238" t="s">
        <v>79</v>
      </c>
      <c r="D506" s="238" t="s">
        <v>356</v>
      </c>
      <c r="E506" s="238" t="s">
        <v>357</v>
      </c>
      <c r="F506" s="243" t="str">
        <f t="shared" si="23"/>
        <v>2011-12 - Reactive chemicals</v>
      </c>
      <c r="G506" s="244">
        <v>0</v>
      </c>
      <c r="H506" s="244">
        <v>0</v>
      </c>
      <c r="I506" s="244">
        <v>0</v>
      </c>
      <c r="J506" s="244" t="s">
        <v>218</v>
      </c>
      <c r="K506" s="244">
        <v>0</v>
      </c>
      <c r="L506" s="244">
        <v>0</v>
      </c>
      <c r="M506" s="244">
        <v>0</v>
      </c>
      <c r="N506" s="244">
        <v>0</v>
      </c>
      <c r="O506" s="244">
        <v>0</v>
      </c>
      <c r="P506" s="245"/>
    </row>
    <row r="507" spans="2:16" hidden="1">
      <c r="B507" s="238" t="s">
        <v>110</v>
      </c>
      <c r="C507" s="238" t="s">
        <v>79</v>
      </c>
      <c r="D507" s="238" t="s">
        <v>161</v>
      </c>
      <c r="E507" s="238" t="s">
        <v>358</v>
      </c>
      <c r="F507" s="243" t="str">
        <f t="shared" si="23"/>
        <v>2011-12 - Paints, resins, inks organic sludges</v>
      </c>
      <c r="G507" s="244">
        <v>0</v>
      </c>
      <c r="H507" s="244"/>
      <c r="I507" s="244">
        <v>0</v>
      </c>
      <c r="J507" s="244" t="s">
        <v>218</v>
      </c>
      <c r="K507" s="244">
        <v>0</v>
      </c>
      <c r="L507" s="244">
        <v>0</v>
      </c>
      <c r="M507" s="244">
        <v>0</v>
      </c>
      <c r="N507" s="244">
        <v>0</v>
      </c>
      <c r="O507" s="244">
        <v>0</v>
      </c>
      <c r="P507" s="245"/>
    </row>
    <row r="508" spans="2:16" hidden="1">
      <c r="B508" s="238" t="s">
        <v>110</v>
      </c>
      <c r="C508" s="238" t="s">
        <v>79</v>
      </c>
      <c r="D508" s="238" t="s">
        <v>219</v>
      </c>
      <c r="E508" s="238" t="s">
        <v>359</v>
      </c>
      <c r="F508" s="243" t="str">
        <f t="shared" si="23"/>
        <v>2011-12 - Organic solvents</v>
      </c>
      <c r="G508" s="244">
        <v>0</v>
      </c>
      <c r="H508" s="244">
        <v>0</v>
      </c>
      <c r="I508" s="244">
        <v>0</v>
      </c>
      <c r="J508" s="244" t="s">
        <v>218</v>
      </c>
      <c r="K508" s="244">
        <v>0</v>
      </c>
      <c r="L508" s="244">
        <v>0</v>
      </c>
      <c r="M508" s="244">
        <v>0</v>
      </c>
      <c r="N508" s="244">
        <v>0</v>
      </c>
      <c r="O508" s="244">
        <v>0</v>
      </c>
      <c r="P508" s="245"/>
    </row>
    <row r="509" spans="2:16" hidden="1">
      <c r="B509" s="238" t="s">
        <v>110</v>
      </c>
      <c r="C509" s="238" t="s">
        <v>79</v>
      </c>
      <c r="D509" s="238" t="s">
        <v>228</v>
      </c>
      <c r="E509" s="238" t="s">
        <v>360</v>
      </c>
      <c r="F509" s="243" t="str">
        <f t="shared" si="23"/>
        <v>2011-12 - Pesticides</v>
      </c>
      <c r="G509" s="244">
        <v>0</v>
      </c>
      <c r="H509" s="244">
        <v>0</v>
      </c>
      <c r="I509" s="244">
        <v>0</v>
      </c>
      <c r="J509" s="244" t="s">
        <v>218</v>
      </c>
      <c r="K509" s="244">
        <v>0</v>
      </c>
      <c r="L509" s="244">
        <v>0</v>
      </c>
      <c r="M509" s="244">
        <v>0</v>
      </c>
      <c r="N509" s="244">
        <v>0</v>
      </c>
      <c r="O509" s="244">
        <v>0</v>
      </c>
      <c r="P509" s="245"/>
    </row>
    <row r="510" spans="2:16" hidden="1">
      <c r="B510" s="238" t="s">
        <v>110</v>
      </c>
      <c r="C510" s="238" t="s">
        <v>79</v>
      </c>
      <c r="D510" s="238" t="s">
        <v>231</v>
      </c>
      <c r="E510" s="238" t="s">
        <v>361</v>
      </c>
      <c r="F510" s="243" t="str">
        <f t="shared" si="23"/>
        <v>2011-12 - Oils</v>
      </c>
      <c r="G510" s="244"/>
      <c r="H510" s="244"/>
      <c r="I510" s="244">
        <v>0</v>
      </c>
      <c r="J510" s="244" t="s">
        <v>218</v>
      </c>
      <c r="K510" s="244"/>
      <c r="L510" s="244"/>
      <c r="M510" s="244">
        <v>0</v>
      </c>
      <c r="N510" s="244"/>
      <c r="O510" s="244">
        <v>0</v>
      </c>
      <c r="P510" s="245"/>
    </row>
    <row r="511" spans="2:16" hidden="1">
      <c r="B511" s="238" t="s">
        <v>110</v>
      </c>
      <c r="C511" s="238" t="s">
        <v>79</v>
      </c>
      <c r="D511" s="238" t="s">
        <v>362</v>
      </c>
      <c r="E511" s="238" t="s">
        <v>363</v>
      </c>
      <c r="F511" s="243" t="str">
        <f t="shared" si="23"/>
        <v>2011-12 - Putrescible/organic waste</v>
      </c>
      <c r="G511" s="244">
        <v>0</v>
      </c>
      <c r="H511" s="244">
        <v>0</v>
      </c>
      <c r="I511" s="244">
        <v>0</v>
      </c>
      <c r="J511" s="244" t="s">
        <v>218</v>
      </c>
      <c r="K511" s="244">
        <v>0</v>
      </c>
      <c r="L511" s="244">
        <v>0</v>
      </c>
      <c r="M511" s="244">
        <v>0</v>
      </c>
      <c r="N511" s="244">
        <v>0</v>
      </c>
      <c r="O511" s="244">
        <v>0</v>
      </c>
      <c r="P511" s="245"/>
    </row>
    <row r="512" spans="2:16" hidden="1">
      <c r="B512" s="238" t="s">
        <v>110</v>
      </c>
      <c r="C512" s="238" t="s">
        <v>79</v>
      </c>
      <c r="D512" s="238" t="s">
        <v>364</v>
      </c>
      <c r="E512" s="238" t="s">
        <v>365</v>
      </c>
      <c r="F512" s="243" t="str">
        <f t="shared" si="23"/>
        <v>2011-12 - Industrial washwater</v>
      </c>
      <c r="G512" s="244">
        <v>0</v>
      </c>
      <c r="H512" s="244">
        <v>0</v>
      </c>
      <c r="I512" s="244">
        <v>0</v>
      </c>
      <c r="J512" s="244" t="s">
        <v>218</v>
      </c>
      <c r="K512" s="244">
        <v>0</v>
      </c>
      <c r="L512" s="244">
        <v>0</v>
      </c>
      <c r="M512" s="244">
        <v>0</v>
      </c>
      <c r="N512" s="244">
        <v>0</v>
      </c>
      <c r="O512" s="244">
        <v>0</v>
      </c>
      <c r="P512" s="245"/>
    </row>
    <row r="513" spans="2:16" hidden="1">
      <c r="B513" s="238" t="s">
        <v>110</v>
      </c>
      <c r="C513" s="238" t="s">
        <v>79</v>
      </c>
      <c r="D513" s="238" t="s">
        <v>235</v>
      </c>
      <c r="E513" s="238" t="s">
        <v>366</v>
      </c>
      <c r="F513" s="243" t="str">
        <f t="shared" si="23"/>
        <v>2011-12 - Organic chemicals</v>
      </c>
      <c r="G513" s="244">
        <v>0</v>
      </c>
      <c r="H513" s="244">
        <v>78.8</v>
      </c>
      <c r="I513" s="244">
        <v>0</v>
      </c>
      <c r="J513" s="244" t="s">
        <v>218</v>
      </c>
      <c r="K513" s="244">
        <v>0</v>
      </c>
      <c r="L513" s="244">
        <v>0</v>
      </c>
      <c r="M513" s="244">
        <v>0</v>
      </c>
      <c r="N513" s="244">
        <v>0</v>
      </c>
      <c r="O513" s="244">
        <v>0</v>
      </c>
      <c r="P513" s="245"/>
    </row>
    <row r="514" spans="2:16" hidden="1">
      <c r="B514" s="238" t="s">
        <v>110</v>
      </c>
      <c r="C514" s="238" t="s">
        <v>79</v>
      </c>
      <c r="D514" s="238" t="s">
        <v>367</v>
      </c>
      <c r="E514" s="238" t="s">
        <v>368</v>
      </c>
      <c r="F514" s="243" t="str">
        <f t="shared" si="23"/>
        <v>2011-12 - Soil/sludge</v>
      </c>
      <c r="G514" s="244">
        <v>0</v>
      </c>
      <c r="H514" s="244">
        <v>0</v>
      </c>
      <c r="I514" s="244"/>
      <c r="J514" s="244" t="s">
        <v>218</v>
      </c>
      <c r="K514" s="244">
        <v>0</v>
      </c>
      <c r="L514" s="244">
        <v>0</v>
      </c>
      <c r="M514" s="244">
        <v>0</v>
      </c>
      <c r="N514" s="244"/>
      <c r="O514" s="244">
        <v>0</v>
      </c>
      <c r="P514" s="245"/>
    </row>
    <row r="515" spans="2:16" hidden="1">
      <c r="B515" s="238" t="s">
        <v>110</v>
      </c>
      <c r="C515" s="238" t="s">
        <v>79</v>
      </c>
      <c r="D515" s="238" t="s">
        <v>216</v>
      </c>
      <c r="E515" s="238" t="s">
        <v>369</v>
      </c>
      <c r="F515" s="243" t="str">
        <f t="shared" si="23"/>
        <v>2011-12 - Clinical &amp; pharmaceutical</v>
      </c>
      <c r="G515" s="244"/>
      <c r="H515" s="244">
        <v>0</v>
      </c>
      <c r="I515" s="244">
        <v>0</v>
      </c>
      <c r="J515" s="244" t="s">
        <v>218</v>
      </c>
      <c r="K515" s="244">
        <v>0</v>
      </c>
      <c r="L515" s="244">
        <v>0</v>
      </c>
      <c r="M515" s="244">
        <v>0</v>
      </c>
      <c r="N515" s="244">
        <v>0</v>
      </c>
      <c r="O515" s="244">
        <v>0</v>
      </c>
      <c r="P515" s="245"/>
    </row>
    <row r="516" spans="2:16" hidden="1">
      <c r="B516" s="238" t="s">
        <v>110</v>
      </c>
      <c r="C516" s="238" t="s">
        <v>79</v>
      </c>
      <c r="D516" s="238" t="s">
        <v>370</v>
      </c>
      <c r="E516" s="238" t="s">
        <v>371</v>
      </c>
      <c r="F516" s="243" t="str">
        <f t="shared" si="23"/>
        <v>2011-12 - Misc.</v>
      </c>
      <c r="G516" s="244">
        <v>0</v>
      </c>
      <c r="H516" s="244">
        <v>0</v>
      </c>
      <c r="I516" s="244">
        <v>0</v>
      </c>
      <c r="J516" s="244" t="s">
        <v>218</v>
      </c>
      <c r="K516" s="244">
        <v>0</v>
      </c>
      <c r="L516" s="244">
        <v>0</v>
      </c>
      <c r="M516" s="244">
        <v>0</v>
      </c>
      <c r="N516" s="244">
        <v>0</v>
      </c>
      <c r="O516" s="244">
        <v>0</v>
      </c>
      <c r="P516" s="245"/>
    </row>
    <row r="517" spans="2:16" hidden="1">
      <c r="B517" s="238" t="s">
        <v>110</v>
      </c>
      <c r="C517" s="238" t="s">
        <v>80</v>
      </c>
      <c r="D517" s="238" t="s">
        <v>157</v>
      </c>
      <c r="E517" s="238" t="s">
        <v>352</v>
      </c>
      <c r="F517" s="243" t="str">
        <f t="shared" si="23"/>
        <v>2010-11 - Plating &amp; heat treatment</v>
      </c>
      <c r="G517" s="244"/>
      <c r="H517" s="244"/>
      <c r="I517" s="244"/>
      <c r="J517" s="244" t="s">
        <v>218</v>
      </c>
      <c r="K517" s="244"/>
      <c r="L517" s="244"/>
      <c r="M517" s="244"/>
      <c r="N517" s="244"/>
      <c r="O517" s="244"/>
      <c r="P517" s="245"/>
    </row>
    <row r="518" spans="2:16" hidden="1">
      <c r="B518" s="238" t="s">
        <v>110</v>
      </c>
      <c r="C518" s="238" t="s">
        <v>80</v>
      </c>
      <c r="D518" s="238" t="s">
        <v>186</v>
      </c>
      <c r="E518" s="238" t="s">
        <v>353</v>
      </c>
      <c r="F518" s="243" t="str">
        <f t="shared" si="23"/>
        <v>2010-11 - Acids</v>
      </c>
      <c r="G518" s="244"/>
      <c r="H518" s="244"/>
      <c r="I518" s="244"/>
      <c r="J518" s="244" t="s">
        <v>218</v>
      </c>
      <c r="K518" s="244"/>
      <c r="L518" s="244"/>
      <c r="M518" s="244"/>
      <c r="N518" s="244"/>
      <c r="O518" s="244"/>
      <c r="P518" s="245"/>
    </row>
    <row r="519" spans="2:16" hidden="1">
      <c r="B519" s="238" t="s">
        <v>110</v>
      </c>
      <c r="C519" s="238" t="s">
        <v>80</v>
      </c>
      <c r="D519" s="238" t="s">
        <v>247</v>
      </c>
      <c r="E519" s="238" t="s">
        <v>354</v>
      </c>
      <c r="F519" s="243" t="str">
        <f t="shared" si="23"/>
        <v>2010-11 - Alkalis</v>
      </c>
      <c r="G519" s="244"/>
      <c r="H519" s="244"/>
      <c r="I519" s="244"/>
      <c r="J519" s="244" t="s">
        <v>218</v>
      </c>
      <c r="K519" s="244"/>
      <c r="L519" s="244"/>
      <c r="M519" s="244"/>
      <c r="N519" s="244"/>
      <c r="O519" s="244"/>
      <c r="P519" s="245"/>
    </row>
    <row r="520" spans="2:16">
      <c r="B520" s="238" t="s">
        <v>110</v>
      </c>
      <c r="C520" s="238" t="s">
        <v>80</v>
      </c>
      <c r="D520" s="238" t="s">
        <v>159</v>
      </c>
      <c r="E520" s="238" t="s">
        <v>355</v>
      </c>
      <c r="F520" s="243" t="str">
        <f t="shared" si="23"/>
        <v>2010-11 - Inorganic chemicals</v>
      </c>
      <c r="G520" s="244"/>
      <c r="H520" s="244"/>
      <c r="I520" s="244"/>
      <c r="J520" s="244" t="s">
        <v>218</v>
      </c>
      <c r="K520" s="244"/>
      <c r="L520" s="244"/>
      <c r="M520" s="244"/>
      <c r="N520" s="244"/>
      <c r="O520" s="244"/>
      <c r="P520" s="245"/>
    </row>
    <row r="521" spans="2:16" hidden="1">
      <c r="B521" s="238" t="s">
        <v>110</v>
      </c>
      <c r="C521" s="238" t="s">
        <v>80</v>
      </c>
      <c r="D521" s="238" t="s">
        <v>356</v>
      </c>
      <c r="E521" s="238" t="s">
        <v>357</v>
      </c>
      <c r="F521" s="243" t="str">
        <f t="shared" si="23"/>
        <v>2010-11 - Reactive chemicals</v>
      </c>
      <c r="G521" s="244"/>
      <c r="H521" s="244"/>
      <c r="I521" s="244"/>
      <c r="J521" s="244" t="s">
        <v>218</v>
      </c>
      <c r="K521" s="244"/>
      <c r="L521" s="244"/>
      <c r="M521" s="244"/>
      <c r="N521" s="244"/>
      <c r="O521" s="244"/>
      <c r="P521" s="245"/>
    </row>
    <row r="522" spans="2:16" hidden="1">
      <c r="B522" s="238" t="s">
        <v>110</v>
      </c>
      <c r="C522" s="238" t="s">
        <v>80</v>
      </c>
      <c r="D522" s="238" t="s">
        <v>161</v>
      </c>
      <c r="E522" s="238" t="s">
        <v>358</v>
      </c>
      <c r="F522" s="243" t="str">
        <f t="shared" si="23"/>
        <v>2010-11 - Paints, resins, inks organic sludges</v>
      </c>
      <c r="G522" s="244"/>
      <c r="H522" s="244"/>
      <c r="I522" s="244"/>
      <c r="J522" s="244" t="s">
        <v>218</v>
      </c>
      <c r="K522" s="244"/>
      <c r="L522" s="244"/>
      <c r="M522" s="244"/>
      <c r="N522" s="244"/>
      <c r="O522" s="244"/>
      <c r="P522" s="245"/>
    </row>
    <row r="523" spans="2:16" hidden="1">
      <c r="B523" s="238" t="s">
        <v>110</v>
      </c>
      <c r="C523" s="238" t="s">
        <v>80</v>
      </c>
      <c r="D523" s="238" t="s">
        <v>219</v>
      </c>
      <c r="E523" s="238" t="s">
        <v>359</v>
      </c>
      <c r="F523" s="243" t="str">
        <f t="shared" si="23"/>
        <v>2010-11 - Organic solvents</v>
      </c>
      <c r="G523" s="244"/>
      <c r="H523" s="244"/>
      <c r="I523" s="244"/>
      <c r="J523" s="244" t="s">
        <v>218</v>
      </c>
      <c r="K523" s="244"/>
      <c r="L523" s="244"/>
      <c r="M523" s="244"/>
      <c r="N523" s="244"/>
      <c r="O523" s="244"/>
      <c r="P523" s="245"/>
    </row>
    <row r="524" spans="2:16" hidden="1">
      <c r="B524" s="238" t="s">
        <v>110</v>
      </c>
      <c r="C524" s="238" t="s">
        <v>80</v>
      </c>
      <c r="D524" s="238" t="s">
        <v>228</v>
      </c>
      <c r="E524" s="238" t="s">
        <v>360</v>
      </c>
      <c r="F524" s="243" t="str">
        <f t="shared" si="23"/>
        <v>2010-11 - Pesticides</v>
      </c>
      <c r="G524" s="244"/>
      <c r="H524" s="244"/>
      <c r="I524" s="244"/>
      <c r="J524" s="244" t="s">
        <v>218</v>
      </c>
      <c r="K524" s="244"/>
      <c r="L524" s="244"/>
      <c r="M524" s="244"/>
      <c r="N524" s="244"/>
      <c r="O524" s="244"/>
      <c r="P524" s="245"/>
    </row>
    <row r="525" spans="2:16" hidden="1">
      <c r="B525" s="238" t="s">
        <v>110</v>
      </c>
      <c r="C525" s="238" t="s">
        <v>80</v>
      </c>
      <c r="D525" s="238" t="s">
        <v>231</v>
      </c>
      <c r="E525" s="238" t="s">
        <v>361</v>
      </c>
      <c r="F525" s="243" t="str">
        <f t="shared" si="23"/>
        <v>2010-11 - Oils</v>
      </c>
      <c r="G525" s="244">
        <v>40</v>
      </c>
      <c r="H525" s="244"/>
      <c r="I525" s="244"/>
      <c r="J525" s="244" t="s">
        <v>218</v>
      </c>
      <c r="K525" s="244"/>
      <c r="L525" s="244"/>
      <c r="M525" s="244"/>
      <c r="N525" s="244"/>
      <c r="O525" s="244"/>
      <c r="P525" s="245"/>
    </row>
    <row r="526" spans="2:16" hidden="1">
      <c r="B526" s="238" t="s">
        <v>110</v>
      </c>
      <c r="C526" s="238" t="s">
        <v>80</v>
      </c>
      <c r="D526" s="238" t="s">
        <v>362</v>
      </c>
      <c r="E526" s="238" t="s">
        <v>363</v>
      </c>
      <c r="F526" s="243" t="str">
        <f t="shared" si="23"/>
        <v>2010-11 - Putrescible/organic waste</v>
      </c>
      <c r="G526" s="244"/>
      <c r="H526" s="244"/>
      <c r="I526" s="244"/>
      <c r="J526" s="244" t="s">
        <v>218</v>
      </c>
      <c r="K526" s="244"/>
      <c r="L526" s="244"/>
      <c r="M526" s="244"/>
      <c r="N526" s="244"/>
      <c r="O526" s="244"/>
      <c r="P526" s="245"/>
    </row>
    <row r="527" spans="2:16" hidden="1">
      <c r="B527" s="238" t="s">
        <v>110</v>
      </c>
      <c r="C527" s="238" t="s">
        <v>80</v>
      </c>
      <c r="D527" s="238" t="s">
        <v>364</v>
      </c>
      <c r="E527" s="238" t="s">
        <v>365</v>
      </c>
      <c r="F527" s="243" t="str">
        <f t="shared" si="23"/>
        <v>2010-11 - Industrial washwater</v>
      </c>
      <c r="G527" s="244"/>
      <c r="H527" s="244"/>
      <c r="I527" s="244"/>
      <c r="J527" s="244" t="s">
        <v>218</v>
      </c>
      <c r="K527" s="244"/>
      <c r="L527" s="244"/>
      <c r="M527" s="244"/>
      <c r="N527" s="244"/>
      <c r="O527" s="244"/>
      <c r="P527" s="245"/>
    </row>
    <row r="528" spans="2:16" hidden="1">
      <c r="B528" s="238" t="s">
        <v>110</v>
      </c>
      <c r="C528" s="238" t="s">
        <v>80</v>
      </c>
      <c r="D528" s="238" t="s">
        <v>235</v>
      </c>
      <c r="E528" s="238" t="s">
        <v>366</v>
      </c>
      <c r="F528" s="243" t="str">
        <f t="shared" si="23"/>
        <v>2010-11 - Organic chemicals</v>
      </c>
      <c r="G528" s="244"/>
      <c r="H528" s="244"/>
      <c r="I528" s="244"/>
      <c r="J528" s="244" t="s">
        <v>218</v>
      </c>
      <c r="K528" s="244"/>
      <c r="L528" s="244"/>
      <c r="M528" s="244"/>
      <c r="N528" s="244"/>
      <c r="O528" s="244"/>
      <c r="P528" s="245"/>
    </row>
    <row r="529" spans="2:16" hidden="1">
      <c r="B529" s="238" t="s">
        <v>110</v>
      </c>
      <c r="C529" s="238" t="s">
        <v>80</v>
      </c>
      <c r="D529" s="238" t="s">
        <v>367</v>
      </c>
      <c r="E529" s="238" t="s">
        <v>368</v>
      </c>
      <c r="F529" s="243" t="str">
        <f t="shared" si="23"/>
        <v>2010-11 - Soil/sludge</v>
      </c>
      <c r="G529" s="244"/>
      <c r="H529" s="244"/>
      <c r="I529" s="244"/>
      <c r="J529" s="244" t="s">
        <v>218</v>
      </c>
      <c r="K529" s="244"/>
      <c r="L529" s="244"/>
      <c r="M529" s="244"/>
      <c r="N529" s="244"/>
      <c r="O529" s="244">
        <v>1002</v>
      </c>
      <c r="P529" s="245"/>
    </row>
    <row r="530" spans="2:16" hidden="1">
      <c r="B530" s="238" t="s">
        <v>110</v>
      </c>
      <c r="C530" s="238" t="s">
        <v>80</v>
      </c>
      <c r="D530" s="238" t="s">
        <v>216</v>
      </c>
      <c r="E530" s="238" t="s">
        <v>369</v>
      </c>
      <c r="F530" s="243" t="str">
        <f t="shared" si="23"/>
        <v>2010-11 - Clinical &amp; pharmaceutical</v>
      </c>
      <c r="G530" s="244"/>
      <c r="H530" s="244"/>
      <c r="I530" s="244"/>
      <c r="J530" s="244" t="s">
        <v>218</v>
      </c>
      <c r="K530" s="244"/>
      <c r="L530" s="244"/>
      <c r="M530" s="244"/>
      <c r="N530" s="244"/>
      <c r="O530" s="244"/>
      <c r="P530" s="245"/>
    </row>
    <row r="531" spans="2:16" hidden="1">
      <c r="B531" s="238" t="s">
        <v>110</v>
      </c>
      <c r="C531" s="238" t="s">
        <v>80</v>
      </c>
      <c r="D531" s="238" t="s">
        <v>370</v>
      </c>
      <c r="E531" s="238" t="s">
        <v>371</v>
      </c>
      <c r="F531" s="243" t="str">
        <f t="shared" si="23"/>
        <v>2010-11 - Misc.</v>
      </c>
      <c r="G531" s="244"/>
      <c r="H531" s="244"/>
      <c r="I531" s="244"/>
      <c r="J531" s="244" t="s">
        <v>218</v>
      </c>
      <c r="K531" s="244"/>
      <c r="L531" s="244"/>
      <c r="M531" s="244"/>
      <c r="N531" s="244"/>
      <c r="O531" s="244"/>
      <c r="P531" s="245"/>
    </row>
    <row r="532" spans="2:16" hidden="1">
      <c r="B532" s="238" t="s">
        <v>110</v>
      </c>
      <c r="C532" s="238" t="s">
        <v>81</v>
      </c>
      <c r="D532" s="238" t="s">
        <v>157</v>
      </c>
      <c r="E532" s="238" t="s">
        <v>352</v>
      </c>
      <c r="F532" s="243" t="str">
        <f t="shared" si="23"/>
        <v>2009-10 - Plating &amp; heat treatment</v>
      </c>
      <c r="G532" s="244"/>
      <c r="H532" s="244">
        <v>10</v>
      </c>
      <c r="I532" s="244"/>
      <c r="J532" s="244" t="s">
        <v>218</v>
      </c>
      <c r="K532" s="244"/>
      <c r="L532" s="244"/>
      <c r="M532" s="244"/>
      <c r="N532" s="244"/>
      <c r="O532" s="244"/>
      <c r="P532" s="245"/>
    </row>
    <row r="533" spans="2:16" hidden="1">
      <c r="B533" s="238" t="s">
        <v>110</v>
      </c>
      <c r="C533" s="238" t="s">
        <v>81</v>
      </c>
      <c r="D533" s="238" t="s">
        <v>186</v>
      </c>
      <c r="E533" s="238" t="s">
        <v>353</v>
      </c>
      <c r="F533" s="243" t="str">
        <f t="shared" si="23"/>
        <v>2009-10 - Acids</v>
      </c>
      <c r="G533" s="244"/>
      <c r="H533" s="244"/>
      <c r="I533" s="244"/>
      <c r="J533" s="244" t="s">
        <v>218</v>
      </c>
      <c r="K533" s="244"/>
      <c r="L533" s="244"/>
      <c r="M533" s="244"/>
      <c r="N533" s="244"/>
      <c r="O533" s="244"/>
      <c r="P533" s="245"/>
    </row>
    <row r="534" spans="2:16" hidden="1">
      <c r="B534" s="238" t="s">
        <v>110</v>
      </c>
      <c r="C534" s="238" t="s">
        <v>81</v>
      </c>
      <c r="D534" s="238" t="s">
        <v>247</v>
      </c>
      <c r="E534" s="238" t="s">
        <v>354</v>
      </c>
      <c r="F534" s="243" t="str">
        <f t="shared" si="23"/>
        <v>2009-10 - Alkalis</v>
      </c>
      <c r="G534" s="244"/>
      <c r="H534" s="244"/>
      <c r="I534" s="244"/>
      <c r="J534" s="244" t="s">
        <v>218</v>
      </c>
      <c r="K534" s="244"/>
      <c r="L534" s="244"/>
      <c r="M534" s="244"/>
      <c r="N534" s="244"/>
      <c r="O534" s="244"/>
      <c r="P534" s="245"/>
    </row>
    <row r="535" spans="2:16">
      <c r="B535" s="238" t="s">
        <v>110</v>
      </c>
      <c r="C535" s="238" t="s">
        <v>81</v>
      </c>
      <c r="D535" s="238" t="s">
        <v>159</v>
      </c>
      <c r="E535" s="238" t="s">
        <v>355</v>
      </c>
      <c r="F535" s="243" t="str">
        <f t="shared" si="23"/>
        <v>2009-10 - Inorganic chemicals</v>
      </c>
      <c r="G535" s="244">
        <v>0.16</v>
      </c>
      <c r="H535" s="244"/>
      <c r="I535" s="244"/>
      <c r="J535" s="244" t="s">
        <v>218</v>
      </c>
      <c r="K535" s="244"/>
      <c r="L535" s="244"/>
      <c r="M535" s="244"/>
      <c r="N535" s="244"/>
      <c r="O535" s="244"/>
      <c r="P535" s="245"/>
    </row>
    <row r="536" spans="2:16" hidden="1">
      <c r="B536" s="238" t="s">
        <v>110</v>
      </c>
      <c r="C536" s="238" t="s">
        <v>81</v>
      </c>
      <c r="D536" s="238" t="s">
        <v>356</v>
      </c>
      <c r="E536" s="238" t="s">
        <v>357</v>
      </c>
      <c r="F536" s="243" t="str">
        <f t="shared" si="23"/>
        <v>2009-10 - Reactive chemicals</v>
      </c>
      <c r="G536" s="244"/>
      <c r="H536" s="244"/>
      <c r="I536" s="244"/>
      <c r="J536" s="244" t="s">
        <v>218</v>
      </c>
      <c r="K536" s="244"/>
      <c r="L536" s="244"/>
      <c r="M536" s="244"/>
      <c r="N536" s="244"/>
      <c r="O536" s="244"/>
      <c r="P536" s="245"/>
    </row>
    <row r="537" spans="2:16" hidden="1">
      <c r="B537" s="238" t="s">
        <v>110</v>
      </c>
      <c r="C537" s="238" t="s">
        <v>81</v>
      </c>
      <c r="D537" s="238" t="s">
        <v>161</v>
      </c>
      <c r="E537" s="238" t="s">
        <v>358</v>
      </c>
      <c r="F537" s="243" t="str">
        <f t="shared" si="23"/>
        <v>2009-10 - Paints, resins, inks organic sludges</v>
      </c>
      <c r="G537" s="244"/>
      <c r="H537" s="244">
        <v>16</v>
      </c>
      <c r="I537" s="244"/>
      <c r="J537" s="244" t="s">
        <v>218</v>
      </c>
      <c r="K537" s="244"/>
      <c r="L537" s="244"/>
      <c r="M537" s="244"/>
      <c r="N537" s="244"/>
      <c r="O537" s="244"/>
      <c r="P537" s="245"/>
    </row>
    <row r="538" spans="2:16" hidden="1">
      <c r="B538" s="238" t="s">
        <v>110</v>
      </c>
      <c r="C538" s="238" t="s">
        <v>81</v>
      </c>
      <c r="D538" s="238" t="s">
        <v>219</v>
      </c>
      <c r="E538" s="238" t="s">
        <v>359</v>
      </c>
      <c r="F538" s="243" t="str">
        <f t="shared" si="23"/>
        <v>2009-10 - Organic solvents</v>
      </c>
      <c r="G538" s="244">
        <v>60</v>
      </c>
      <c r="H538" s="244"/>
      <c r="I538" s="244"/>
      <c r="J538" s="244" t="s">
        <v>218</v>
      </c>
      <c r="K538" s="244"/>
      <c r="L538" s="244"/>
      <c r="M538" s="244"/>
      <c r="N538" s="244"/>
      <c r="O538" s="244"/>
      <c r="P538" s="245"/>
    </row>
    <row r="539" spans="2:16" hidden="1">
      <c r="B539" s="238" t="s">
        <v>110</v>
      </c>
      <c r="C539" s="238" t="s">
        <v>81</v>
      </c>
      <c r="D539" s="238" t="s">
        <v>228</v>
      </c>
      <c r="E539" s="238" t="s">
        <v>360</v>
      </c>
      <c r="F539" s="243" t="str">
        <f t="shared" si="23"/>
        <v>2009-10 - Pesticides</v>
      </c>
      <c r="G539" s="244"/>
      <c r="H539" s="244">
        <v>50</v>
      </c>
      <c r="I539" s="244"/>
      <c r="J539" s="244" t="s">
        <v>218</v>
      </c>
      <c r="K539" s="244"/>
      <c r="L539" s="244"/>
      <c r="M539" s="244"/>
      <c r="N539" s="244"/>
      <c r="O539" s="244"/>
      <c r="P539" s="245"/>
    </row>
    <row r="540" spans="2:16" hidden="1">
      <c r="B540" s="238" t="s">
        <v>110</v>
      </c>
      <c r="C540" s="238" t="s">
        <v>81</v>
      </c>
      <c r="D540" s="238" t="s">
        <v>231</v>
      </c>
      <c r="E540" s="238" t="s">
        <v>361</v>
      </c>
      <c r="F540" s="243" t="str">
        <f t="shared" si="23"/>
        <v>2009-10 - Oils</v>
      </c>
      <c r="G540" s="244">
        <v>16</v>
      </c>
      <c r="H540" s="244"/>
      <c r="I540" s="244"/>
      <c r="J540" s="244" t="s">
        <v>218</v>
      </c>
      <c r="K540" s="244"/>
      <c r="L540" s="244"/>
      <c r="M540" s="244"/>
      <c r="N540" s="244">
        <v>320</v>
      </c>
      <c r="O540" s="244"/>
      <c r="P540" s="245"/>
    </row>
    <row r="541" spans="2:16" hidden="1">
      <c r="B541" s="238" t="s">
        <v>110</v>
      </c>
      <c r="C541" s="238" t="s">
        <v>81</v>
      </c>
      <c r="D541" s="238" t="s">
        <v>362</v>
      </c>
      <c r="E541" s="238" t="s">
        <v>363</v>
      </c>
      <c r="F541" s="243" t="str">
        <f t="shared" si="23"/>
        <v>2009-10 - Putrescible/organic waste</v>
      </c>
      <c r="G541" s="244"/>
      <c r="H541" s="244"/>
      <c r="I541" s="244"/>
      <c r="J541" s="244" t="s">
        <v>218</v>
      </c>
      <c r="K541" s="244"/>
      <c r="L541" s="244"/>
      <c r="M541" s="244"/>
      <c r="N541" s="244"/>
      <c r="O541" s="244"/>
      <c r="P541" s="245"/>
    </row>
    <row r="542" spans="2:16" hidden="1">
      <c r="B542" s="238" t="s">
        <v>110</v>
      </c>
      <c r="C542" s="238" t="s">
        <v>81</v>
      </c>
      <c r="D542" s="238" t="s">
        <v>364</v>
      </c>
      <c r="E542" s="238" t="s">
        <v>365</v>
      </c>
      <c r="F542" s="243" t="str">
        <f t="shared" si="23"/>
        <v>2009-10 - Industrial washwater</v>
      </c>
      <c r="G542" s="244"/>
      <c r="H542" s="244"/>
      <c r="I542" s="244"/>
      <c r="J542" s="244" t="s">
        <v>218</v>
      </c>
      <c r="K542" s="244"/>
      <c r="L542" s="244"/>
      <c r="M542" s="244"/>
      <c r="N542" s="244"/>
      <c r="O542" s="244"/>
      <c r="P542" s="245"/>
    </row>
    <row r="543" spans="2:16" hidden="1">
      <c r="B543" s="238" t="s">
        <v>110</v>
      </c>
      <c r="C543" s="238" t="s">
        <v>81</v>
      </c>
      <c r="D543" s="238" t="s">
        <v>235</v>
      </c>
      <c r="E543" s="238" t="s">
        <v>366</v>
      </c>
      <c r="F543" s="243" t="str">
        <f t="shared" si="23"/>
        <v>2009-10 - Organic chemicals</v>
      </c>
      <c r="G543" s="244">
        <v>8</v>
      </c>
      <c r="H543" s="244">
        <v>9</v>
      </c>
      <c r="I543" s="244"/>
      <c r="J543" s="244" t="s">
        <v>218</v>
      </c>
      <c r="K543" s="244"/>
      <c r="L543" s="244"/>
      <c r="M543" s="244"/>
      <c r="N543" s="244"/>
      <c r="O543" s="244"/>
      <c r="P543" s="245"/>
    </row>
    <row r="544" spans="2:16" hidden="1">
      <c r="B544" s="238" t="s">
        <v>110</v>
      </c>
      <c r="C544" s="238" t="s">
        <v>81</v>
      </c>
      <c r="D544" s="238" t="s">
        <v>367</v>
      </c>
      <c r="E544" s="238" t="s">
        <v>368</v>
      </c>
      <c r="F544" s="243" t="str">
        <f t="shared" si="23"/>
        <v>2009-10 - Soil/sludge</v>
      </c>
      <c r="G544" s="244"/>
      <c r="H544" s="244"/>
      <c r="I544" s="244"/>
      <c r="J544" s="244" t="s">
        <v>218</v>
      </c>
      <c r="K544" s="244"/>
      <c r="L544" s="244"/>
      <c r="M544" s="244"/>
      <c r="N544" s="244"/>
      <c r="O544" s="244"/>
      <c r="P544" s="245"/>
    </row>
    <row r="545" spans="2:16" hidden="1">
      <c r="B545" s="238" t="s">
        <v>110</v>
      </c>
      <c r="C545" s="238" t="s">
        <v>81</v>
      </c>
      <c r="D545" s="238" t="s">
        <v>216</v>
      </c>
      <c r="E545" s="238" t="s">
        <v>369</v>
      </c>
      <c r="F545" s="243" t="str">
        <f t="shared" si="23"/>
        <v>2009-10 - Clinical &amp; pharmaceutical</v>
      </c>
      <c r="G545" s="244"/>
      <c r="H545" s="244"/>
      <c r="I545" s="244"/>
      <c r="J545" s="244" t="s">
        <v>218</v>
      </c>
      <c r="K545" s="244"/>
      <c r="L545" s="244"/>
      <c r="M545" s="244"/>
      <c r="N545" s="244"/>
      <c r="O545" s="244"/>
      <c r="P545" s="245"/>
    </row>
    <row r="546" spans="2:16" hidden="1">
      <c r="B546" s="238" t="s">
        <v>110</v>
      </c>
      <c r="C546" s="238" t="s">
        <v>81</v>
      </c>
      <c r="D546" s="238" t="s">
        <v>370</v>
      </c>
      <c r="E546" s="238" t="s">
        <v>371</v>
      </c>
      <c r="F546" s="243" t="str">
        <f t="shared" si="23"/>
        <v>2009-10 - Misc.</v>
      </c>
      <c r="G546" s="244"/>
      <c r="H546" s="244"/>
      <c r="I546" s="244"/>
      <c r="J546" s="244" t="s">
        <v>218</v>
      </c>
      <c r="K546" s="244"/>
      <c r="L546" s="244"/>
      <c r="M546" s="244"/>
      <c r="N546" s="244"/>
      <c r="O546" s="244"/>
      <c r="P546" s="245"/>
    </row>
    <row r="547" spans="2:16" hidden="1">
      <c r="B547" s="238" t="s">
        <v>110</v>
      </c>
      <c r="C547" s="238" t="s">
        <v>82</v>
      </c>
      <c r="D547" s="238" t="s">
        <v>157</v>
      </c>
      <c r="E547" s="238" t="s">
        <v>352</v>
      </c>
      <c r="F547" s="243" t="str">
        <f t="shared" si="23"/>
        <v>2008-09 - Plating &amp; heat treatment</v>
      </c>
      <c r="G547" s="244"/>
      <c r="H547" s="244"/>
      <c r="I547" s="244"/>
      <c r="J547" s="244" t="s">
        <v>218</v>
      </c>
      <c r="K547" s="244"/>
      <c r="L547" s="244"/>
      <c r="M547" s="244"/>
      <c r="N547" s="244"/>
      <c r="O547" s="244"/>
      <c r="P547" s="245"/>
    </row>
    <row r="548" spans="2:16" hidden="1">
      <c r="B548" s="238" t="s">
        <v>110</v>
      </c>
      <c r="C548" s="238" t="s">
        <v>82</v>
      </c>
      <c r="D548" s="238" t="s">
        <v>186</v>
      </c>
      <c r="E548" s="238" t="s">
        <v>353</v>
      </c>
      <c r="F548" s="243" t="str">
        <f t="shared" si="23"/>
        <v>2008-09 - Acids</v>
      </c>
      <c r="G548" s="244"/>
      <c r="H548" s="244"/>
      <c r="I548" s="244"/>
      <c r="J548" s="244" t="s">
        <v>218</v>
      </c>
      <c r="K548" s="244"/>
      <c r="L548" s="244"/>
      <c r="M548" s="244"/>
      <c r="N548" s="244"/>
      <c r="O548" s="244"/>
      <c r="P548" s="245"/>
    </row>
    <row r="549" spans="2:16" hidden="1">
      <c r="B549" s="238" t="s">
        <v>110</v>
      </c>
      <c r="C549" s="238" t="s">
        <v>82</v>
      </c>
      <c r="D549" s="238" t="s">
        <v>247</v>
      </c>
      <c r="E549" s="238" t="s">
        <v>354</v>
      </c>
      <c r="F549" s="243" t="str">
        <f t="shared" si="23"/>
        <v>2008-09 - Alkalis</v>
      </c>
      <c r="G549" s="244"/>
      <c r="H549" s="244"/>
      <c r="I549" s="244"/>
      <c r="J549" s="244" t="s">
        <v>218</v>
      </c>
      <c r="K549" s="244"/>
      <c r="L549" s="244"/>
      <c r="M549" s="244"/>
      <c r="N549" s="244"/>
      <c r="O549" s="244"/>
      <c r="P549" s="245"/>
    </row>
    <row r="550" spans="2:16">
      <c r="B550" s="238" t="s">
        <v>110</v>
      </c>
      <c r="C550" s="238" t="s">
        <v>82</v>
      </c>
      <c r="D550" s="238" t="s">
        <v>159</v>
      </c>
      <c r="E550" s="238" t="s">
        <v>355</v>
      </c>
      <c r="F550" s="243" t="str">
        <f t="shared" si="23"/>
        <v>2008-09 - Inorganic chemicals</v>
      </c>
      <c r="G550" s="244"/>
      <c r="H550" s="244">
        <v>0.54</v>
      </c>
      <c r="I550" s="244"/>
      <c r="J550" s="244" t="s">
        <v>218</v>
      </c>
      <c r="K550" s="244"/>
      <c r="L550" s="244"/>
      <c r="M550" s="244"/>
      <c r="N550" s="244"/>
      <c r="O550" s="244"/>
      <c r="P550" s="245"/>
    </row>
    <row r="551" spans="2:16" hidden="1">
      <c r="B551" s="238" t="s">
        <v>110</v>
      </c>
      <c r="C551" s="238" t="s">
        <v>82</v>
      </c>
      <c r="D551" s="238" t="s">
        <v>356</v>
      </c>
      <c r="E551" s="238" t="s">
        <v>357</v>
      </c>
      <c r="F551" s="243" t="str">
        <f t="shared" si="23"/>
        <v>2008-09 - Reactive chemicals</v>
      </c>
      <c r="G551" s="244"/>
      <c r="H551" s="244"/>
      <c r="I551" s="244"/>
      <c r="J551" s="244" t="s">
        <v>218</v>
      </c>
      <c r="K551" s="244"/>
      <c r="L551" s="244"/>
      <c r="M551" s="244"/>
      <c r="N551" s="244"/>
      <c r="O551" s="244"/>
      <c r="P551" s="245"/>
    </row>
    <row r="552" spans="2:16" hidden="1">
      <c r="B552" s="238" t="s">
        <v>110</v>
      </c>
      <c r="C552" s="238" t="s">
        <v>82</v>
      </c>
      <c r="D552" s="238" t="s">
        <v>161</v>
      </c>
      <c r="E552" s="238" t="s">
        <v>358</v>
      </c>
      <c r="F552" s="243" t="str">
        <f t="shared" si="23"/>
        <v>2008-09 - Paints, resins, inks organic sludges</v>
      </c>
      <c r="G552" s="244"/>
      <c r="H552" s="244">
        <v>36</v>
      </c>
      <c r="I552" s="244">
        <v>40</v>
      </c>
      <c r="J552" s="244" t="s">
        <v>218</v>
      </c>
      <c r="K552" s="244"/>
      <c r="L552" s="244"/>
      <c r="M552" s="244"/>
      <c r="N552" s="244"/>
      <c r="O552" s="244"/>
      <c r="P552" s="245"/>
    </row>
    <row r="553" spans="2:16" hidden="1">
      <c r="B553" s="238" t="s">
        <v>110</v>
      </c>
      <c r="C553" s="238" t="s">
        <v>82</v>
      </c>
      <c r="D553" s="238" t="s">
        <v>219</v>
      </c>
      <c r="E553" s="238" t="s">
        <v>359</v>
      </c>
      <c r="F553" s="243" t="str">
        <f t="shared" si="23"/>
        <v>2008-09 - Organic solvents</v>
      </c>
      <c r="G553" s="244"/>
      <c r="H553" s="244"/>
      <c r="I553" s="244">
        <v>4</v>
      </c>
      <c r="J553" s="244" t="s">
        <v>218</v>
      </c>
      <c r="K553" s="244"/>
      <c r="L553" s="244"/>
      <c r="M553" s="244"/>
      <c r="N553" s="244"/>
      <c r="O553" s="244"/>
      <c r="P553" s="245"/>
    </row>
    <row r="554" spans="2:16" hidden="1">
      <c r="B554" s="238" t="s">
        <v>110</v>
      </c>
      <c r="C554" s="238" t="s">
        <v>82</v>
      </c>
      <c r="D554" s="238" t="s">
        <v>228</v>
      </c>
      <c r="E554" s="238" t="s">
        <v>360</v>
      </c>
      <c r="F554" s="243" t="str">
        <f t="shared" si="23"/>
        <v>2008-09 - Pesticides</v>
      </c>
      <c r="G554" s="244"/>
      <c r="H554" s="244">
        <v>0.5</v>
      </c>
      <c r="I554" s="244"/>
      <c r="J554" s="244" t="s">
        <v>218</v>
      </c>
      <c r="K554" s="244"/>
      <c r="L554" s="244"/>
      <c r="M554" s="244"/>
      <c r="N554" s="244">
        <v>0.4</v>
      </c>
      <c r="O554" s="244"/>
      <c r="P554" s="245"/>
    </row>
    <row r="555" spans="2:16" hidden="1">
      <c r="B555" s="238" t="s">
        <v>110</v>
      </c>
      <c r="C555" s="238" t="s">
        <v>82</v>
      </c>
      <c r="D555" s="238" t="s">
        <v>231</v>
      </c>
      <c r="E555" s="238" t="s">
        <v>361</v>
      </c>
      <c r="F555" s="243" t="str">
        <f t="shared" si="23"/>
        <v>2008-09 - Oils</v>
      </c>
      <c r="G555" s="244">
        <v>4</v>
      </c>
      <c r="H555" s="244"/>
      <c r="I555" s="244"/>
      <c r="J555" s="244" t="s">
        <v>218</v>
      </c>
      <c r="K555" s="244"/>
      <c r="L555" s="244"/>
      <c r="M555" s="244"/>
      <c r="N555" s="244"/>
      <c r="O555" s="244"/>
      <c r="P555" s="245"/>
    </row>
    <row r="556" spans="2:16" hidden="1">
      <c r="B556" s="238" t="s">
        <v>110</v>
      </c>
      <c r="C556" s="238" t="s">
        <v>82</v>
      </c>
      <c r="D556" s="238" t="s">
        <v>362</v>
      </c>
      <c r="E556" s="238" t="s">
        <v>363</v>
      </c>
      <c r="F556" s="243" t="str">
        <f t="shared" ref="F556:F619" si="24">CONCATENATE(C556," - ",E556)</f>
        <v>2008-09 - Putrescible/organic waste</v>
      </c>
      <c r="G556" s="244"/>
      <c r="H556" s="244"/>
      <c r="I556" s="244"/>
      <c r="J556" s="244" t="s">
        <v>218</v>
      </c>
      <c r="K556" s="244"/>
      <c r="L556" s="244"/>
      <c r="M556" s="244"/>
      <c r="N556" s="244"/>
      <c r="O556" s="244"/>
      <c r="P556" s="245"/>
    </row>
    <row r="557" spans="2:16" hidden="1">
      <c r="B557" s="238" t="s">
        <v>110</v>
      </c>
      <c r="C557" s="238" t="s">
        <v>82</v>
      </c>
      <c r="D557" s="238" t="s">
        <v>364</v>
      </c>
      <c r="E557" s="238" t="s">
        <v>365</v>
      </c>
      <c r="F557" s="243" t="str">
        <f t="shared" si="24"/>
        <v>2008-09 - Industrial washwater</v>
      </c>
      <c r="G557" s="244"/>
      <c r="H557" s="244"/>
      <c r="I557" s="244"/>
      <c r="J557" s="244" t="s">
        <v>218</v>
      </c>
      <c r="K557" s="244"/>
      <c r="L557" s="244"/>
      <c r="M557" s="244"/>
      <c r="N557" s="244"/>
      <c r="O557" s="244"/>
      <c r="P557" s="245"/>
    </row>
    <row r="558" spans="2:16" hidden="1">
      <c r="B558" s="238" t="s">
        <v>110</v>
      </c>
      <c r="C558" s="238" t="s">
        <v>82</v>
      </c>
      <c r="D558" s="238" t="s">
        <v>235</v>
      </c>
      <c r="E558" s="238" t="s">
        <v>366</v>
      </c>
      <c r="F558" s="243" t="str">
        <f t="shared" si="24"/>
        <v>2008-09 - Organic chemicals</v>
      </c>
      <c r="G558" s="244">
        <v>7</v>
      </c>
      <c r="H558" s="244">
        <v>462.74</v>
      </c>
      <c r="I558" s="244"/>
      <c r="J558" s="244" t="s">
        <v>218</v>
      </c>
      <c r="K558" s="244"/>
      <c r="L558" s="244"/>
      <c r="M558" s="244"/>
      <c r="N558" s="244"/>
      <c r="O558" s="244"/>
      <c r="P558" s="245"/>
    </row>
    <row r="559" spans="2:16" hidden="1">
      <c r="B559" s="238" t="s">
        <v>110</v>
      </c>
      <c r="C559" s="238" t="s">
        <v>82</v>
      </c>
      <c r="D559" s="238" t="s">
        <v>367</v>
      </c>
      <c r="E559" s="238" t="s">
        <v>368</v>
      </c>
      <c r="F559" s="243" t="str">
        <f t="shared" si="24"/>
        <v>2008-09 - Soil/sludge</v>
      </c>
      <c r="G559" s="244"/>
      <c r="H559" s="244"/>
      <c r="I559" s="244"/>
      <c r="J559" s="244" t="s">
        <v>218</v>
      </c>
      <c r="K559" s="244"/>
      <c r="L559" s="244"/>
      <c r="M559" s="244"/>
      <c r="N559" s="244"/>
      <c r="O559" s="244"/>
      <c r="P559" s="245"/>
    </row>
    <row r="560" spans="2:16" hidden="1">
      <c r="B560" s="238" t="s">
        <v>110</v>
      </c>
      <c r="C560" s="238" t="s">
        <v>82</v>
      </c>
      <c r="D560" s="238" t="s">
        <v>216</v>
      </c>
      <c r="E560" s="238" t="s">
        <v>369</v>
      </c>
      <c r="F560" s="243" t="str">
        <f t="shared" si="24"/>
        <v>2008-09 - Clinical &amp; pharmaceutical</v>
      </c>
      <c r="G560" s="244"/>
      <c r="H560" s="244"/>
      <c r="I560" s="244"/>
      <c r="J560" s="244" t="s">
        <v>218</v>
      </c>
      <c r="K560" s="244"/>
      <c r="L560" s="244"/>
      <c r="M560" s="244"/>
      <c r="N560" s="244"/>
      <c r="O560" s="244"/>
      <c r="P560" s="245"/>
    </row>
    <row r="561" spans="2:16" hidden="1">
      <c r="B561" s="238" t="s">
        <v>110</v>
      </c>
      <c r="C561" s="238" t="s">
        <v>82</v>
      </c>
      <c r="D561" s="238" t="s">
        <v>370</v>
      </c>
      <c r="E561" s="238" t="s">
        <v>371</v>
      </c>
      <c r="F561" s="243" t="str">
        <f t="shared" si="24"/>
        <v>2008-09 - Misc.</v>
      </c>
      <c r="G561" s="244"/>
      <c r="H561" s="244"/>
      <c r="I561" s="244"/>
      <c r="J561" s="244" t="s">
        <v>218</v>
      </c>
      <c r="K561" s="244"/>
      <c r="L561" s="244"/>
      <c r="M561" s="244"/>
      <c r="N561" s="244"/>
      <c r="O561" s="244"/>
      <c r="P561" s="245"/>
    </row>
    <row r="562" spans="2:16" hidden="1">
      <c r="B562" s="238" t="s">
        <v>110</v>
      </c>
      <c r="C562" s="238" t="s">
        <v>83</v>
      </c>
      <c r="D562" s="238" t="s">
        <v>157</v>
      </c>
      <c r="E562" s="238" t="s">
        <v>352</v>
      </c>
      <c r="F562" s="243" t="str">
        <f t="shared" si="24"/>
        <v>2007-08 - Plating &amp; heat treatment</v>
      </c>
      <c r="G562" s="244"/>
      <c r="H562" s="244"/>
      <c r="I562" s="244"/>
      <c r="J562" s="244" t="s">
        <v>218</v>
      </c>
      <c r="K562" s="244"/>
      <c r="L562" s="244"/>
      <c r="M562" s="244"/>
      <c r="N562" s="244"/>
      <c r="O562" s="244"/>
      <c r="P562" s="245"/>
    </row>
    <row r="563" spans="2:16" hidden="1">
      <c r="B563" s="238" t="s">
        <v>110</v>
      </c>
      <c r="C563" s="238" t="s">
        <v>83</v>
      </c>
      <c r="D563" s="238" t="s">
        <v>186</v>
      </c>
      <c r="E563" s="238" t="s">
        <v>353</v>
      </c>
      <c r="F563" s="243" t="str">
        <f t="shared" si="24"/>
        <v>2007-08 - Acids</v>
      </c>
      <c r="G563" s="244"/>
      <c r="H563" s="244"/>
      <c r="I563" s="244"/>
      <c r="J563" s="244" t="s">
        <v>218</v>
      </c>
      <c r="K563" s="244"/>
      <c r="L563" s="244"/>
      <c r="M563" s="244"/>
      <c r="N563" s="244"/>
      <c r="O563" s="244"/>
      <c r="P563" s="245"/>
    </row>
    <row r="564" spans="2:16" hidden="1">
      <c r="B564" s="238" t="s">
        <v>110</v>
      </c>
      <c r="C564" s="238" t="s">
        <v>83</v>
      </c>
      <c r="D564" s="238" t="s">
        <v>247</v>
      </c>
      <c r="E564" s="238" t="s">
        <v>354</v>
      </c>
      <c r="F564" s="243" t="str">
        <f t="shared" si="24"/>
        <v>2007-08 - Alkalis</v>
      </c>
      <c r="G564" s="244"/>
      <c r="H564" s="244"/>
      <c r="I564" s="244"/>
      <c r="J564" s="244" t="s">
        <v>218</v>
      </c>
      <c r="K564" s="244"/>
      <c r="L564" s="244"/>
      <c r="M564" s="244"/>
      <c r="N564" s="244"/>
      <c r="O564" s="244"/>
      <c r="P564" s="245"/>
    </row>
    <row r="565" spans="2:16">
      <c r="B565" s="238" t="s">
        <v>110</v>
      </c>
      <c r="C565" s="238" t="s">
        <v>83</v>
      </c>
      <c r="D565" s="238" t="s">
        <v>159</v>
      </c>
      <c r="E565" s="238" t="s">
        <v>355</v>
      </c>
      <c r="F565" s="243" t="str">
        <f t="shared" si="24"/>
        <v>2007-08 - Inorganic chemicals</v>
      </c>
      <c r="G565" s="244"/>
      <c r="H565" s="244"/>
      <c r="I565" s="244">
        <v>60</v>
      </c>
      <c r="J565" s="244" t="s">
        <v>218</v>
      </c>
      <c r="K565" s="244"/>
      <c r="L565" s="244"/>
      <c r="M565" s="244"/>
      <c r="N565" s="244"/>
      <c r="O565" s="244"/>
      <c r="P565" s="245"/>
    </row>
    <row r="566" spans="2:16" hidden="1">
      <c r="B566" s="238" t="s">
        <v>110</v>
      </c>
      <c r="C566" s="238" t="s">
        <v>83</v>
      </c>
      <c r="D566" s="238" t="s">
        <v>356</v>
      </c>
      <c r="E566" s="238" t="s">
        <v>357</v>
      </c>
      <c r="F566" s="243" t="str">
        <f t="shared" si="24"/>
        <v>2007-08 - Reactive chemicals</v>
      </c>
      <c r="G566" s="244"/>
      <c r="H566" s="244"/>
      <c r="I566" s="244"/>
      <c r="J566" s="244" t="s">
        <v>218</v>
      </c>
      <c r="K566" s="244"/>
      <c r="L566" s="244"/>
      <c r="M566" s="244"/>
      <c r="N566" s="244"/>
      <c r="O566" s="244"/>
      <c r="P566" s="245"/>
    </row>
    <row r="567" spans="2:16" hidden="1">
      <c r="B567" s="238" t="s">
        <v>110</v>
      </c>
      <c r="C567" s="238" t="s">
        <v>83</v>
      </c>
      <c r="D567" s="238" t="s">
        <v>161</v>
      </c>
      <c r="E567" s="238" t="s">
        <v>358</v>
      </c>
      <c r="F567" s="243" t="str">
        <f t="shared" si="24"/>
        <v>2007-08 - Paints, resins, inks organic sludges</v>
      </c>
      <c r="G567" s="244"/>
      <c r="H567" s="244">
        <v>69</v>
      </c>
      <c r="I567" s="244"/>
      <c r="J567" s="244" t="s">
        <v>218</v>
      </c>
      <c r="K567" s="244"/>
      <c r="L567" s="244"/>
      <c r="M567" s="244"/>
      <c r="N567" s="244"/>
      <c r="O567" s="244"/>
      <c r="P567" s="245"/>
    </row>
    <row r="568" spans="2:16" hidden="1">
      <c r="B568" s="238" t="s">
        <v>110</v>
      </c>
      <c r="C568" s="238" t="s">
        <v>83</v>
      </c>
      <c r="D568" s="238" t="s">
        <v>219</v>
      </c>
      <c r="E568" s="238" t="s">
        <v>359</v>
      </c>
      <c r="F568" s="243" t="str">
        <f t="shared" si="24"/>
        <v>2007-08 - Organic solvents</v>
      </c>
      <c r="G568" s="244"/>
      <c r="H568" s="244"/>
      <c r="I568" s="244"/>
      <c r="J568" s="244" t="s">
        <v>218</v>
      </c>
      <c r="K568" s="244"/>
      <c r="L568" s="244"/>
      <c r="M568" s="244"/>
      <c r="N568" s="244"/>
      <c r="O568" s="244"/>
      <c r="P568" s="245"/>
    </row>
    <row r="569" spans="2:16" hidden="1">
      <c r="B569" s="238" t="s">
        <v>110</v>
      </c>
      <c r="C569" s="238" t="s">
        <v>83</v>
      </c>
      <c r="D569" s="238" t="s">
        <v>228</v>
      </c>
      <c r="E569" s="238" t="s">
        <v>360</v>
      </c>
      <c r="F569" s="243" t="str">
        <f t="shared" si="24"/>
        <v>2007-08 - Pesticides</v>
      </c>
      <c r="G569" s="244">
        <v>0.7</v>
      </c>
      <c r="H569" s="244"/>
      <c r="I569" s="244"/>
      <c r="J569" s="244" t="s">
        <v>218</v>
      </c>
      <c r="K569" s="244"/>
      <c r="L569" s="244">
        <v>8</v>
      </c>
      <c r="M569" s="244"/>
      <c r="N569" s="244">
        <v>9.6</v>
      </c>
      <c r="O569" s="244"/>
      <c r="P569" s="245"/>
    </row>
    <row r="570" spans="2:16" hidden="1">
      <c r="B570" s="238" t="s">
        <v>110</v>
      </c>
      <c r="C570" s="238" t="s">
        <v>83</v>
      </c>
      <c r="D570" s="238" t="s">
        <v>231</v>
      </c>
      <c r="E570" s="238" t="s">
        <v>361</v>
      </c>
      <c r="F570" s="243" t="str">
        <f t="shared" si="24"/>
        <v>2007-08 - Oils</v>
      </c>
      <c r="G570" s="244"/>
      <c r="H570" s="244"/>
      <c r="I570" s="244">
        <v>100</v>
      </c>
      <c r="J570" s="244" t="s">
        <v>218</v>
      </c>
      <c r="K570" s="244"/>
      <c r="L570" s="244"/>
      <c r="M570" s="244"/>
      <c r="N570" s="244"/>
      <c r="O570" s="244"/>
      <c r="P570" s="245"/>
    </row>
    <row r="571" spans="2:16" hidden="1">
      <c r="B571" s="238" t="s">
        <v>110</v>
      </c>
      <c r="C571" s="238" t="s">
        <v>83</v>
      </c>
      <c r="D571" s="238" t="s">
        <v>362</v>
      </c>
      <c r="E571" s="238" t="s">
        <v>363</v>
      </c>
      <c r="F571" s="243" t="str">
        <f t="shared" si="24"/>
        <v>2007-08 - Putrescible/organic waste</v>
      </c>
      <c r="G571" s="244"/>
      <c r="H571" s="244"/>
      <c r="I571" s="244"/>
      <c r="J571" s="244" t="s">
        <v>218</v>
      </c>
      <c r="K571" s="244"/>
      <c r="L571" s="244"/>
      <c r="M571" s="244"/>
      <c r="N571" s="244">
        <v>6</v>
      </c>
      <c r="O571" s="244"/>
      <c r="P571" s="245"/>
    </row>
    <row r="572" spans="2:16" hidden="1">
      <c r="B572" s="238" t="s">
        <v>110</v>
      </c>
      <c r="C572" s="238" t="s">
        <v>83</v>
      </c>
      <c r="D572" s="238" t="s">
        <v>364</v>
      </c>
      <c r="E572" s="238" t="s">
        <v>365</v>
      </c>
      <c r="F572" s="243" t="str">
        <f t="shared" si="24"/>
        <v>2007-08 - Industrial washwater</v>
      </c>
      <c r="G572" s="244"/>
      <c r="H572" s="244"/>
      <c r="I572" s="244"/>
      <c r="J572" s="244" t="s">
        <v>218</v>
      </c>
      <c r="K572" s="244"/>
      <c r="L572" s="244"/>
      <c r="M572" s="244"/>
      <c r="N572" s="244"/>
      <c r="O572" s="244"/>
      <c r="P572" s="245"/>
    </row>
    <row r="573" spans="2:16" hidden="1">
      <c r="B573" s="238" t="s">
        <v>110</v>
      </c>
      <c r="C573" s="238" t="s">
        <v>83</v>
      </c>
      <c r="D573" s="238" t="s">
        <v>235</v>
      </c>
      <c r="E573" s="238" t="s">
        <v>366</v>
      </c>
      <c r="F573" s="243" t="str">
        <f t="shared" si="24"/>
        <v>2007-08 - Organic chemicals</v>
      </c>
      <c r="G573" s="244"/>
      <c r="H573" s="244"/>
      <c r="I573" s="244"/>
      <c r="J573" s="244" t="s">
        <v>218</v>
      </c>
      <c r="K573" s="244"/>
      <c r="L573" s="244"/>
      <c r="M573" s="244"/>
      <c r="N573" s="244"/>
      <c r="O573" s="244"/>
      <c r="P573" s="245"/>
    </row>
    <row r="574" spans="2:16" hidden="1">
      <c r="B574" s="238" t="s">
        <v>110</v>
      </c>
      <c r="C574" s="238" t="s">
        <v>83</v>
      </c>
      <c r="D574" s="238" t="s">
        <v>367</v>
      </c>
      <c r="E574" s="238" t="s">
        <v>368</v>
      </c>
      <c r="F574" s="243" t="str">
        <f t="shared" si="24"/>
        <v>2007-08 - Soil/sludge</v>
      </c>
      <c r="G574" s="244">
        <v>72</v>
      </c>
      <c r="H574" s="244">
        <v>76</v>
      </c>
      <c r="I574" s="244"/>
      <c r="J574" s="244" t="s">
        <v>218</v>
      </c>
      <c r="K574" s="244">
        <v>1</v>
      </c>
      <c r="L574" s="244">
        <v>80</v>
      </c>
      <c r="M574" s="244"/>
      <c r="N574" s="244"/>
      <c r="O574" s="244"/>
      <c r="P574" s="245"/>
    </row>
    <row r="575" spans="2:16" hidden="1">
      <c r="B575" s="238" t="s">
        <v>110</v>
      </c>
      <c r="C575" s="238" t="s">
        <v>83</v>
      </c>
      <c r="D575" s="238" t="s">
        <v>216</v>
      </c>
      <c r="E575" s="238" t="s">
        <v>369</v>
      </c>
      <c r="F575" s="243" t="str">
        <f t="shared" si="24"/>
        <v>2007-08 - Clinical &amp; pharmaceutical</v>
      </c>
      <c r="G575" s="244"/>
      <c r="H575" s="244"/>
      <c r="I575" s="244"/>
      <c r="J575" s="244" t="s">
        <v>218</v>
      </c>
      <c r="K575" s="244"/>
      <c r="L575" s="244"/>
      <c r="M575" s="244"/>
      <c r="N575" s="244"/>
      <c r="O575" s="244"/>
      <c r="P575" s="245"/>
    </row>
    <row r="576" spans="2:16" hidden="1">
      <c r="B576" s="238" t="s">
        <v>110</v>
      </c>
      <c r="C576" s="238" t="s">
        <v>83</v>
      </c>
      <c r="D576" s="238" t="s">
        <v>370</v>
      </c>
      <c r="E576" s="238" t="s">
        <v>371</v>
      </c>
      <c r="F576" s="243" t="str">
        <f t="shared" si="24"/>
        <v>2007-08 - Misc.</v>
      </c>
      <c r="G576" s="244">
        <v>104.07</v>
      </c>
      <c r="H576" s="244">
        <v>152.66999999999999</v>
      </c>
      <c r="I576" s="244"/>
      <c r="J576" s="244" t="s">
        <v>218</v>
      </c>
      <c r="K576" s="244"/>
      <c r="L576" s="244"/>
      <c r="M576" s="244"/>
      <c r="N576" s="244"/>
      <c r="O576" s="244"/>
      <c r="P576" s="245"/>
    </row>
    <row r="577" spans="2:16" hidden="1">
      <c r="B577" s="238" t="s">
        <v>110</v>
      </c>
      <c r="C577" s="238" t="s">
        <v>86</v>
      </c>
      <c r="D577" s="238" t="s">
        <v>157</v>
      </c>
      <c r="E577" s="238" t="s">
        <v>352</v>
      </c>
      <c r="F577" s="243" t="str">
        <f t="shared" si="24"/>
        <v>2006-07 - Plating &amp; heat treatment</v>
      </c>
      <c r="G577" s="244"/>
      <c r="H577" s="244"/>
      <c r="I577" s="244"/>
      <c r="J577" s="244" t="s">
        <v>218</v>
      </c>
      <c r="K577" s="244"/>
      <c r="L577" s="244"/>
      <c r="M577" s="244"/>
      <c r="N577" s="244"/>
      <c r="O577" s="244"/>
      <c r="P577" s="245"/>
    </row>
    <row r="578" spans="2:16" hidden="1">
      <c r="B578" s="238" t="s">
        <v>110</v>
      </c>
      <c r="C578" s="238" t="s">
        <v>86</v>
      </c>
      <c r="D578" s="238" t="s">
        <v>186</v>
      </c>
      <c r="E578" s="238" t="s">
        <v>353</v>
      </c>
      <c r="F578" s="243" t="str">
        <f t="shared" si="24"/>
        <v>2006-07 - Acids</v>
      </c>
      <c r="G578" s="244"/>
      <c r="H578" s="244"/>
      <c r="I578" s="244"/>
      <c r="J578" s="244" t="s">
        <v>218</v>
      </c>
      <c r="K578" s="244"/>
      <c r="L578" s="244"/>
      <c r="M578" s="244"/>
      <c r="N578" s="244"/>
      <c r="O578" s="244"/>
      <c r="P578" s="245"/>
    </row>
    <row r="579" spans="2:16" hidden="1">
      <c r="B579" s="238" t="s">
        <v>110</v>
      </c>
      <c r="C579" s="238" t="s">
        <v>86</v>
      </c>
      <c r="D579" s="238" t="s">
        <v>247</v>
      </c>
      <c r="E579" s="238" t="s">
        <v>354</v>
      </c>
      <c r="F579" s="243" t="str">
        <f t="shared" si="24"/>
        <v>2006-07 - Alkalis</v>
      </c>
      <c r="G579" s="244"/>
      <c r="H579" s="244"/>
      <c r="I579" s="244"/>
      <c r="J579" s="244" t="s">
        <v>218</v>
      </c>
      <c r="K579" s="244"/>
      <c r="L579" s="244"/>
      <c r="M579" s="244"/>
      <c r="N579" s="244"/>
      <c r="O579" s="244"/>
      <c r="P579" s="245"/>
    </row>
    <row r="580" spans="2:16">
      <c r="B580" s="238" t="s">
        <v>110</v>
      </c>
      <c r="C580" s="238" t="s">
        <v>86</v>
      </c>
      <c r="D580" s="238" t="s">
        <v>159</v>
      </c>
      <c r="E580" s="238" t="s">
        <v>355</v>
      </c>
      <c r="F580" s="243" t="str">
        <f t="shared" si="24"/>
        <v>2006-07 - Inorganic chemicals</v>
      </c>
      <c r="G580" s="244">
        <v>13</v>
      </c>
      <c r="H580" s="244">
        <v>20.7</v>
      </c>
      <c r="I580" s="244"/>
      <c r="J580" s="244" t="s">
        <v>218</v>
      </c>
      <c r="K580" s="244"/>
      <c r="L580" s="244"/>
      <c r="M580" s="244"/>
      <c r="N580" s="244"/>
      <c r="O580" s="244"/>
      <c r="P580" s="245"/>
    </row>
    <row r="581" spans="2:16" hidden="1">
      <c r="B581" s="238" t="s">
        <v>110</v>
      </c>
      <c r="C581" s="238" t="s">
        <v>86</v>
      </c>
      <c r="D581" s="238" t="s">
        <v>356</v>
      </c>
      <c r="E581" s="238" t="s">
        <v>357</v>
      </c>
      <c r="F581" s="243" t="str">
        <f t="shared" si="24"/>
        <v>2006-07 - Reactive chemicals</v>
      </c>
      <c r="G581" s="244"/>
      <c r="H581" s="244"/>
      <c r="I581" s="244"/>
      <c r="J581" s="244" t="s">
        <v>218</v>
      </c>
      <c r="K581" s="244"/>
      <c r="L581" s="244"/>
      <c r="M581" s="244"/>
      <c r="N581" s="244"/>
      <c r="O581" s="244"/>
      <c r="P581" s="245"/>
    </row>
    <row r="582" spans="2:16" hidden="1">
      <c r="B582" s="238" t="s">
        <v>110</v>
      </c>
      <c r="C582" s="238" t="s">
        <v>86</v>
      </c>
      <c r="D582" s="238" t="s">
        <v>161</v>
      </c>
      <c r="E582" s="238" t="s">
        <v>358</v>
      </c>
      <c r="F582" s="243" t="str">
        <f t="shared" si="24"/>
        <v>2006-07 - Paints, resins, inks organic sludges</v>
      </c>
      <c r="G582" s="244"/>
      <c r="H582" s="244"/>
      <c r="I582" s="244"/>
      <c r="J582" s="244" t="s">
        <v>218</v>
      </c>
      <c r="K582" s="244"/>
      <c r="L582" s="244"/>
      <c r="M582" s="244"/>
      <c r="N582" s="244"/>
      <c r="O582" s="244"/>
      <c r="P582" s="245"/>
    </row>
    <row r="583" spans="2:16" hidden="1">
      <c r="B583" s="238" t="s">
        <v>110</v>
      </c>
      <c r="C583" s="238" t="s">
        <v>86</v>
      </c>
      <c r="D583" s="238" t="s">
        <v>219</v>
      </c>
      <c r="E583" s="238" t="s">
        <v>359</v>
      </c>
      <c r="F583" s="243" t="str">
        <f t="shared" si="24"/>
        <v>2006-07 - Organic solvents</v>
      </c>
      <c r="G583" s="244"/>
      <c r="H583" s="244"/>
      <c r="I583" s="244"/>
      <c r="J583" s="244" t="s">
        <v>218</v>
      </c>
      <c r="K583" s="244">
        <v>300</v>
      </c>
      <c r="L583" s="244"/>
      <c r="M583" s="244"/>
      <c r="N583" s="244">
        <v>3.5</v>
      </c>
      <c r="O583" s="244"/>
      <c r="P583" s="245"/>
    </row>
    <row r="584" spans="2:16" hidden="1">
      <c r="B584" s="238" t="s">
        <v>110</v>
      </c>
      <c r="C584" s="238" t="s">
        <v>86</v>
      </c>
      <c r="D584" s="238" t="s">
        <v>228</v>
      </c>
      <c r="E584" s="238" t="s">
        <v>360</v>
      </c>
      <c r="F584" s="243" t="str">
        <f t="shared" si="24"/>
        <v>2006-07 - Pesticides</v>
      </c>
      <c r="G584" s="244"/>
      <c r="H584" s="244"/>
      <c r="I584" s="244"/>
      <c r="J584" s="244" t="s">
        <v>218</v>
      </c>
      <c r="K584" s="244"/>
      <c r="L584" s="244"/>
      <c r="M584" s="244"/>
      <c r="N584" s="244">
        <v>0.4</v>
      </c>
      <c r="O584" s="244"/>
      <c r="P584" s="245"/>
    </row>
    <row r="585" spans="2:16" hidden="1">
      <c r="B585" s="238" t="s">
        <v>110</v>
      </c>
      <c r="C585" s="238" t="s">
        <v>86</v>
      </c>
      <c r="D585" s="238" t="s">
        <v>231</v>
      </c>
      <c r="E585" s="238" t="s">
        <v>361</v>
      </c>
      <c r="F585" s="243" t="str">
        <f t="shared" si="24"/>
        <v>2006-07 - Oils</v>
      </c>
      <c r="G585" s="244"/>
      <c r="H585" s="244"/>
      <c r="I585" s="244"/>
      <c r="J585" s="244" t="s">
        <v>218</v>
      </c>
      <c r="K585" s="244"/>
      <c r="L585" s="244"/>
      <c r="M585" s="244"/>
      <c r="N585" s="244"/>
      <c r="O585" s="244"/>
      <c r="P585" s="245"/>
    </row>
    <row r="586" spans="2:16" hidden="1">
      <c r="B586" s="238" t="s">
        <v>110</v>
      </c>
      <c r="C586" s="238" t="s">
        <v>86</v>
      </c>
      <c r="D586" s="238" t="s">
        <v>362</v>
      </c>
      <c r="E586" s="238" t="s">
        <v>363</v>
      </c>
      <c r="F586" s="243" t="str">
        <f t="shared" si="24"/>
        <v>2006-07 - Putrescible/organic waste</v>
      </c>
      <c r="G586" s="244"/>
      <c r="H586" s="244"/>
      <c r="I586" s="244"/>
      <c r="J586" s="244" t="s">
        <v>218</v>
      </c>
      <c r="K586" s="244"/>
      <c r="L586" s="244"/>
      <c r="M586" s="244"/>
      <c r="N586" s="244"/>
      <c r="O586" s="244"/>
      <c r="P586" s="245"/>
    </row>
    <row r="587" spans="2:16" hidden="1">
      <c r="B587" s="238" t="s">
        <v>110</v>
      </c>
      <c r="C587" s="238" t="s">
        <v>86</v>
      </c>
      <c r="D587" s="238" t="s">
        <v>364</v>
      </c>
      <c r="E587" s="238" t="s">
        <v>365</v>
      </c>
      <c r="F587" s="243" t="str">
        <f t="shared" si="24"/>
        <v>2006-07 - Industrial washwater</v>
      </c>
      <c r="G587" s="244"/>
      <c r="H587" s="244"/>
      <c r="I587" s="244"/>
      <c r="J587" s="244" t="s">
        <v>218</v>
      </c>
      <c r="K587" s="244"/>
      <c r="L587" s="244"/>
      <c r="M587" s="244"/>
      <c r="N587" s="244"/>
      <c r="O587" s="244"/>
      <c r="P587" s="245"/>
    </row>
    <row r="588" spans="2:16" hidden="1">
      <c r="B588" s="238" t="s">
        <v>110</v>
      </c>
      <c r="C588" s="238" t="s">
        <v>86</v>
      </c>
      <c r="D588" s="238" t="s">
        <v>235</v>
      </c>
      <c r="E588" s="238" t="s">
        <v>366</v>
      </c>
      <c r="F588" s="243" t="str">
        <f t="shared" si="24"/>
        <v>2006-07 - Organic chemicals</v>
      </c>
      <c r="G588" s="244">
        <v>40</v>
      </c>
      <c r="H588" s="244"/>
      <c r="I588" s="244"/>
      <c r="J588" s="244" t="s">
        <v>218</v>
      </c>
      <c r="K588" s="244"/>
      <c r="L588" s="244"/>
      <c r="M588" s="244"/>
      <c r="N588" s="244">
        <v>3.2</v>
      </c>
      <c r="O588" s="244"/>
      <c r="P588" s="245"/>
    </row>
    <row r="589" spans="2:16" hidden="1">
      <c r="B589" s="238" t="s">
        <v>110</v>
      </c>
      <c r="C589" s="238" t="s">
        <v>86</v>
      </c>
      <c r="D589" s="238" t="s">
        <v>367</v>
      </c>
      <c r="E589" s="238" t="s">
        <v>368</v>
      </c>
      <c r="F589" s="243" t="str">
        <f t="shared" si="24"/>
        <v>2006-07 - Soil/sludge</v>
      </c>
      <c r="G589" s="244">
        <v>28</v>
      </c>
      <c r="H589" s="244">
        <v>400</v>
      </c>
      <c r="I589" s="244"/>
      <c r="J589" s="244" t="s">
        <v>218</v>
      </c>
      <c r="K589" s="244"/>
      <c r="L589" s="244"/>
      <c r="M589" s="244"/>
      <c r="N589" s="244">
        <v>100</v>
      </c>
      <c r="O589" s="244"/>
      <c r="P589" s="245"/>
    </row>
    <row r="590" spans="2:16" hidden="1">
      <c r="B590" s="238" t="s">
        <v>110</v>
      </c>
      <c r="C590" s="238" t="s">
        <v>86</v>
      </c>
      <c r="D590" s="238" t="s">
        <v>216</v>
      </c>
      <c r="E590" s="238" t="s">
        <v>369</v>
      </c>
      <c r="F590" s="243" t="str">
        <f t="shared" si="24"/>
        <v>2006-07 - Clinical &amp; pharmaceutical</v>
      </c>
      <c r="G590" s="244"/>
      <c r="H590" s="244"/>
      <c r="I590" s="244"/>
      <c r="J590" s="244" t="s">
        <v>218</v>
      </c>
      <c r="K590" s="244"/>
      <c r="L590" s="244"/>
      <c r="M590" s="244"/>
      <c r="N590" s="244"/>
      <c r="O590" s="244"/>
      <c r="P590" s="245"/>
    </row>
    <row r="591" spans="2:16" hidden="1">
      <c r="B591" s="238" t="s">
        <v>110</v>
      </c>
      <c r="C591" s="238" t="s">
        <v>86</v>
      </c>
      <c r="D591" s="238" t="s">
        <v>370</v>
      </c>
      <c r="E591" s="238" t="s">
        <v>371</v>
      </c>
      <c r="F591" s="243" t="str">
        <f t="shared" si="24"/>
        <v>2006-07 - Misc.</v>
      </c>
      <c r="G591" s="244"/>
      <c r="H591" s="244"/>
      <c r="I591" s="244"/>
      <c r="J591" s="244" t="s">
        <v>218</v>
      </c>
      <c r="K591" s="244"/>
      <c r="L591" s="244"/>
      <c r="M591" s="244"/>
      <c r="N591" s="244">
        <v>4</v>
      </c>
      <c r="O591" s="244"/>
      <c r="P591" s="245"/>
    </row>
    <row r="592" spans="2:16" hidden="1">
      <c r="B592" s="238" t="s">
        <v>108</v>
      </c>
      <c r="C592" s="238" t="s">
        <v>78</v>
      </c>
      <c r="D592" s="238" t="s">
        <v>157</v>
      </c>
      <c r="E592" s="238" t="s">
        <v>352</v>
      </c>
      <c r="F592" s="243" t="str">
        <f t="shared" si="24"/>
        <v>2012-13 - Plating &amp; heat treatment</v>
      </c>
      <c r="G592" s="244">
        <v>0</v>
      </c>
      <c r="H592" s="244">
        <v>0.06</v>
      </c>
      <c r="I592" s="244">
        <v>2.29</v>
      </c>
      <c r="J592" s="244">
        <v>0</v>
      </c>
      <c r="K592" s="244" t="s">
        <v>218</v>
      </c>
      <c r="L592" s="244">
        <v>0</v>
      </c>
      <c r="M592" s="244">
        <v>0</v>
      </c>
      <c r="N592" s="244">
        <v>0</v>
      </c>
      <c r="O592" s="244">
        <v>0</v>
      </c>
      <c r="P592" s="245"/>
    </row>
    <row r="593" spans="2:16" hidden="1">
      <c r="B593" s="238" t="s">
        <v>108</v>
      </c>
      <c r="C593" s="238" t="s">
        <v>78</v>
      </c>
      <c r="D593" s="238" t="s">
        <v>186</v>
      </c>
      <c r="E593" s="238" t="s">
        <v>353</v>
      </c>
      <c r="F593" s="243" t="str">
        <f t="shared" si="24"/>
        <v>2012-13 - Acids</v>
      </c>
      <c r="G593" s="244">
        <v>0</v>
      </c>
      <c r="H593" s="244">
        <v>0</v>
      </c>
      <c r="I593" s="244">
        <v>0</v>
      </c>
      <c r="J593" s="244">
        <v>41.22</v>
      </c>
      <c r="K593" s="244" t="s">
        <v>218</v>
      </c>
      <c r="L593" s="244">
        <v>0</v>
      </c>
      <c r="M593" s="244">
        <v>0</v>
      </c>
      <c r="N593" s="244">
        <v>49</v>
      </c>
      <c r="O593" s="244">
        <v>0</v>
      </c>
      <c r="P593" s="245"/>
    </row>
    <row r="594" spans="2:16" hidden="1">
      <c r="B594" s="238" t="s">
        <v>108</v>
      </c>
      <c r="C594" s="238" t="s">
        <v>78</v>
      </c>
      <c r="D594" s="238" t="s">
        <v>247</v>
      </c>
      <c r="E594" s="238" t="s">
        <v>354</v>
      </c>
      <c r="F594" s="243" t="str">
        <f t="shared" si="24"/>
        <v>2012-13 - Alkalis</v>
      </c>
      <c r="G594" s="244">
        <v>3.4</v>
      </c>
      <c r="H594" s="244">
        <v>0</v>
      </c>
      <c r="I594" s="244">
        <v>0</v>
      </c>
      <c r="J594" s="244">
        <v>23.2</v>
      </c>
      <c r="K594" s="244" t="s">
        <v>218</v>
      </c>
      <c r="L594" s="244">
        <v>0</v>
      </c>
      <c r="M594" s="244">
        <v>0</v>
      </c>
      <c r="N594" s="244">
        <v>177.32</v>
      </c>
      <c r="O594" s="244">
        <v>0</v>
      </c>
      <c r="P594" s="245"/>
    </row>
    <row r="595" spans="2:16">
      <c r="B595" s="238" t="s">
        <v>108</v>
      </c>
      <c r="C595" s="238" t="s">
        <v>78</v>
      </c>
      <c r="D595" s="238" t="s">
        <v>159</v>
      </c>
      <c r="E595" s="238" t="s">
        <v>355</v>
      </c>
      <c r="F595" s="243" t="str">
        <f t="shared" si="24"/>
        <v>2012-13 - Inorganic chemicals</v>
      </c>
      <c r="G595" s="244">
        <v>14197.4</v>
      </c>
      <c r="H595" s="244">
        <v>13524.65</v>
      </c>
      <c r="I595" s="244">
        <v>28.56</v>
      </c>
      <c r="J595" s="244">
        <v>574.82000000000005</v>
      </c>
      <c r="K595" s="244" t="s">
        <v>218</v>
      </c>
      <c r="L595" s="244">
        <v>6746.53</v>
      </c>
      <c r="M595" s="244">
        <v>30.88</v>
      </c>
      <c r="N595" s="244">
        <v>208.63</v>
      </c>
      <c r="O595" s="244">
        <v>0</v>
      </c>
      <c r="P595" s="245"/>
    </row>
    <row r="596" spans="2:16" hidden="1">
      <c r="B596" s="238" t="s">
        <v>108</v>
      </c>
      <c r="C596" s="238" t="s">
        <v>78</v>
      </c>
      <c r="D596" s="238" t="s">
        <v>356</v>
      </c>
      <c r="E596" s="238" t="s">
        <v>357</v>
      </c>
      <c r="F596" s="243" t="str">
        <f t="shared" si="24"/>
        <v>2012-13 - Reactive chemicals</v>
      </c>
      <c r="G596" s="244">
        <v>0</v>
      </c>
      <c r="H596" s="244">
        <v>0</v>
      </c>
      <c r="I596" s="244">
        <v>0</v>
      </c>
      <c r="J596" s="244">
        <v>3.11</v>
      </c>
      <c r="K596" s="244" t="s">
        <v>218</v>
      </c>
      <c r="L596" s="244">
        <v>0</v>
      </c>
      <c r="M596" s="244">
        <v>0</v>
      </c>
      <c r="N596" s="244">
        <v>0</v>
      </c>
      <c r="O596" s="244">
        <v>0</v>
      </c>
      <c r="P596" s="245"/>
    </row>
    <row r="597" spans="2:16" hidden="1">
      <c r="B597" s="238" t="s">
        <v>108</v>
      </c>
      <c r="C597" s="238" t="s">
        <v>78</v>
      </c>
      <c r="D597" s="238" t="s">
        <v>161</v>
      </c>
      <c r="E597" s="238" t="s">
        <v>358</v>
      </c>
      <c r="F597" s="243" t="str">
        <f t="shared" si="24"/>
        <v>2012-13 - Paints, resins, inks organic sludges</v>
      </c>
      <c r="G597" s="244">
        <v>320.91000000000003</v>
      </c>
      <c r="H597" s="244">
        <v>1970.44</v>
      </c>
      <c r="I597" s="244">
        <v>568.49</v>
      </c>
      <c r="J597" s="244">
        <v>287.63</v>
      </c>
      <c r="K597" s="244" t="s">
        <v>218</v>
      </c>
      <c r="L597" s="244">
        <v>0</v>
      </c>
      <c r="M597" s="244">
        <v>0</v>
      </c>
      <c r="N597" s="244">
        <v>131.02000000000001</v>
      </c>
      <c r="O597" s="244">
        <v>0</v>
      </c>
      <c r="P597" s="245"/>
    </row>
    <row r="598" spans="2:16" hidden="1">
      <c r="B598" s="238" t="s">
        <v>108</v>
      </c>
      <c r="C598" s="238" t="s">
        <v>78</v>
      </c>
      <c r="D598" s="238" t="s">
        <v>219</v>
      </c>
      <c r="E598" s="238" t="s">
        <v>359</v>
      </c>
      <c r="F598" s="243" t="str">
        <f t="shared" si="24"/>
        <v>2012-13 - Organic solvents</v>
      </c>
      <c r="G598" s="244">
        <v>36.799999999999997</v>
      </c>
      <c r="H598" s="244">
        <v>194.48</v>
      </c>
      <c r="I598" s="244">
        <v>246.98</v>
      </c>
      <c r="J598" s="244">
        <v>454.28</v>
      </c>
      <c r="K598" s="244" t="s">
        <v>218</v>
      </c>
      <c r="L598" s="244">
        <v>0</v>
      </c>
      <c r="M598" s="244">
        <v>0</v>
      </c>
      <c r="N598" s="244">
        <v>0</v>
      </c>
      <c r="O598" s="244">
        <v>0</v>
      </c>
      <c r="P598" s="245"/>
    </row>
    <row r="599" spans="2:16" hidden="1">
      <c r="B599" s="238" t="s">
        <v>108</v>
      </c>
      <c r="C599" s="238" t="s">
        <v>78</v>
      </c>
      <c r="D599" s="238" t="s">
        <v>228</v>
      </c>
      <c r="E599" s="238" t="s">
        <v>360</v>
      </c>
      <c r="F599" s="243" t="str">
        <f t="shared" si="24"/>
        <v>2012-13 - Pesticides</v>
      </c>
      <c r="G599" s="244">
        <v>0</v>
      </c>
      <c r="H599" s="244">
        <v>0</v>
      </c>
      <c r="I599" s="244">
        <v>0.01</v>
      </c>
      <c r="J599" s="244">
        <v>0</v>
      </c>
      <c r="K599" s="244" t="s">
        <v>218</v>
      </c>
      <c r="L599" s="244">
        <v>0</v>
      </c>
      <c r="M599" s="244">
        <v>0</v>
      </c>
      <c r="N599" s="244">
        <v>0</v>
      </c>
      <c r="O599" s="244">
        <v>0</v>
      </c>
      <c r="P599" s="245"/>
    </row>
    <row r="600" spans="2:16" hidden="1">
      <c r="B600" s="238" t="s">
        <v>108</v>
      </c>
      <c r="C600" s="238" t="s">
        <v>78</v>
      </c>
      <c r="D600" s="238" t="s">
        <v>231</v>
      </c>
      <c r="E600" s="238" t="s">
        <v>361</v>
      </c>
      <c r="F600" s="243" t="str">
        <f t="shared" si="24"/>
        <v>2012-13 - Oils</v>
      </c>
      <c r="G600" s="244">
        <v>73.72</v>
      </c>
      <c r="H600" s="244">
        <v>174.69</v>
      </c>
      <c r="I600" s="244">
        <v>1013</v>
      </c>
      <c r="J600" s="244">
        <v>763.43</v>
      </c>
      <c r="K600" s="244" t="s">
        <v>218</v>
      </c>
      <c r="L600" s="244">
        <v>0</v>
      </c>
      <c r="M600" s="244">
        <v>0</v>
      </c>
      <c r="N600" s="244">
        <v>1820.81</v>
      </c>
      <c r="O600" s="244">
        <v>0</v>
      </c>
      <c r="P600" s="245"/>
    </row>
    <row r="601" spans="2:16" hidden="1">
      <c r="B601" s="238" t="s">
        <v>108</v>
      </c>
      <c r="C601" s="238" t="s">
        <v>78</v>
      </c>
      <c r="D601" s="238" t="s">
        <v>362</v>
      </c>
      <c r="E601" s="238" t="s">
        <v>363</v>
      </c>
      <c r="F601" s="243" t="str">
        <f t="shared" si="24"/>
        <v>2012-13 - Putrescible/organic waste</v>
      </c>
      <c r="G601" s="244">
        <v>0</v>
      </c>
      <c r="H601" s="244">
        <v>0</v>
      </c>
      <c r="I601" s="244">
        <v>0</v>
      </c>
      <c r="J601" s="244">
        <v>0</v>
      </c>
      <c r="K601" s="244" t="s">
        <v>218</v>
      </c>
      <c r="L601" s="244">
        <v>0</v>
      </c>
      <c r="M601" s="244">
        <v>0</v>
      </c>
      <c r="N601" s="244">
        <v>0</v>
      </c>
      <c r="O601" s="244">
        <v>0</v>
      </c>
      <c r="P601" s="245"/>
    </row>
    <row r="602" spans="2:16" hidden="1">
      <c r="B602" s="238" t="s">
        <v>108</v>
      </c>
      <c r="C602" s="238" t="s">
        <v>78</v>
      </c>
      <c r="D602" s="238" t="s">
        <v>364</v>
      </c>
      <c r="E602" s="238" t="s">
        <v>365</v>
      </c>
      <c r="F602" s="243" t="str">
        <f t="shared" si="24"/>
        <v>2012-13 - Industrial washwater</v>
      </c>
      <c r="G602" s="244">
        <v>0</v>
      </c>
      <c r="H602" s="244">
        <v>0</v>
      </c>
      <c r="I602" s="244">
        <v>0</v>
      </c>
      <c r="J602" s="244">
        <v>0</v>
      </c>
      <c r="K602" s="244" t="s">
        <v>218</v>
      </c>
      <c r="L602" s="244">
        <v>0</v>
      </c>
      <c r="M602" s="244">
        <v>0</v>
      </c>
      <c r="N602" s="244">
        <v>0</v>
      </c>
      <c r="O602" s="244">
        <v>0</v>
      </c>
      <c r="P602" s="245"/>
    </row>
    <row r="603" spans="2:16" hidden="1">
      <c r="B603" s="238" t="s">
        <v>108</v>
      </c>
      <c r="C603" s="238" t="s">
        <v>78</v>
      </c>
      <c r="D603" s="238" t="s">
        <v>235</v>
      </c>
      <c r="E603" s="238" t="s">
        <v>366</v>
      </c>
      <c r="F603" s="243" t="str">
        <f t="shared" si="24"/>
        <v>2012-13 - Organic chemicals</v>
      </c>
      <c r="G603" s="244">
        <v>0</v>
      </c>
      <c r="H603" s="244">
        <v>5.64</v>
      </c>
      <c r="I603" s="244">
        <v>0</v>
      </c>
      <c r="J603" s="244">
        <v>18.600000000000001</v>
      </c>
      <c r="K603" s="244" t="s">
        <v>218</v>
      </c>
      <c r="L603" s="244">
        <v>0</v>
      </c>
      <c r="M603" s="244">
        <v>0</v>
      </c>
      <c r="N603" s="244">
        <v>83.5</v>
      </c>
      <c r="O603" s="244">
        <v>0</v>
      </c>
      <c r="P603" s="245"/>
    </row>
    <row r="604" spans="2:16" hidden="1">
      <c r="B604" s="238" t="s">
        <v>108</v>
      </c>
      <c r="C604" s="238" t="s">
        <v>78</v>
      </c>
      <c r="D604" s="238" t="s">
        <v>367</v>
      </c>
      <c r="E604" s="238" t="s">
        <v>368</v>
      </c>
      <c r="F604" s="243" t="str">
        <f t="shared" si="24"/>
        <v>2012-13 - Soil/sludge</v>
      </c>
      <c r="G604" s="244">
        <v>0</v>
      </c>
      <c r="H604" s="244">
        <v>219.23</v>
      </c>
      <c r="I604" s="244">
        <v>0</v>
      </c>
      <c r="J604" s="244">
        <v>208.41</v>
      </c>
      <c r="K604" s="244" t="s">
        <v>218</v>
      </c>
      <c r="L604" s="244">
        <v>0</v>
      </c>
      <c r="M604" s="244">
        <v>0</v>
      </c>
      <c r="N604" s="244">
        <v>63.66</v>
      </c>
      <c r="O604" s="244">
        <v>0</v>
      </c>
      <c r="P604" s="245"/>
    </row>
    <row r="605" spans="2:16" hidden="1">
      <c r="B605" s="238" t="s">
        <v>108</v>
      </c>
      <c r="C605" s="238" t="s">
        <v>78</v>
      </c>
      <c r="D605" s="238" t="s">
        <v>216</v>
      </c>
      <c r="E605" s="238" t="s">
        <v>369</v>
      </c>
      <c r="F605" s="243" t="str">
        <f t="shared" si="24"/>
        <v>2012-13 - Clinical &amp; pharmaceutical</v>
      </c>
      <c r="G605" s="244">
        <v>0</v>
      </c>
      <c r="H605" s="244">
        <v>0</v>
      </c>
      <c r="I605" s="244">
        <v>0</v>
      </c>
      <c r="J605" s="244">
        <v>0</v>
      </c>
      <c r="K605" s="244" t="s">
        <v>218</v>
      </c>
      <c r="L605" s="244">
        <v>20.329999999999998</v>
      </c>
      <c r="M605" s="244">
        <v>0</v>
      </c>
      <c r="N605" s="244">
        <v>138.83000000000001</v>
      </c>
      <c r="O605" s="244">
        <v>0</v>
      </c>
      <c r="P605" s="245"/>
    </row>
    <row r="606" spans="2:16" hidden="1">
      <c r="B606" s="238" t="s">
        <v>108</v>
      </c>
      <c r="C606" s="238" t="s">
        <v>78</v>
      </c>
      <c r="D606" s="238" t="s">
        <v>370</v>
      </c>
      <c r="E606" s="238" t="s">
        <v>371</v>
      </c>
      <c r="F606" s="243" t="str">
        <f t="shared" si="24"/>
        <v>2012-13 - Misc.</v>
      </c>
      <c r="G606" s="244">
        <v>0</v>
      </c>
      <c r="H606" s="244">
        <v>0</v>
      </c>
      <c r="I606" s="244">
        <v>0</v>
      </c>
      <c r="J606" s="244">
        <v>18.8</v>
      </c>
      <c r="K606" s="244" t="s">
        <v>218</v>
      </c>
      <c r="L606" s="244">
        <v>0</v>
      </c>
      <c r="M606" s="244">
        <v>0</v>
      </c>
      <c r="N606" s="244">
        <v>80.8</v>
      </c>
      <c r="O606" s="244">
        <v>0</v>
      </c>
      <c r="P606" s="245"/>
    </row>
    <row r="607" spans="2:16" hidden="1">
      <c r="B607" s="238" t="s">
        <v>108</v>
      </c>
      <c r="C607" s="238" t="s">
        <v>79</v>
      </c>
      <c r="D607" s="238" t="s">
        <v>157</v>
      </c>
      <c r="E607" s="238" t="s">
        <v>352</v>
      </c>
      <c r="F607" s="243" t="str">
        <f t="shared" si="24"/>
        <v>2011-12 - Plating &amp; heat treatment</v>
      </c>
      <c r="G607" s="244">
        <v>0</v>
      </c>
      <c r="H607" s="244">
        <v>0</v>
      </c>
      <c r="I607" s="244">
        <v>0</v>
      </c>
      <c r="J607" s="244">
        <v>0</v>
      </c>
      <c r="K607" s="244" t="s">
        <v>218</v>
      </c>
      <c r="L607" s="244">
        <v>0</v>
      </c>
      <c r="M607" s="244">
        <v>0</v>
      </c>
      <c r="N607" s="244">
        <v>0</v>
      </c>
      <c r="O607" s="244"/>
      <c r="P607" s="245"/>
    </row>
    <row r="608" spans="2:16" hidden="1">
      <c r="B608" s="238" t="s">
        <v>108</v>
      </c>
      <c r="C608" s="238" t="s">
        <v>79</v>
      </c>
      <c r="D608" s="238" t="s">
        <v>186</v>
      </c>
      <c r="E608" s="238" t="s">
        <v>353</v>
      </c>
      <c r="F608" s="243" t="str">
        <f t="shared" si="24"/>
        <v>2011-12 - Acids</v>
      </c>
      <c r="G608" s="244">
        <v>0</v>
      </c>
      <c r="H608" s="244">
        <v>553.94000000000005</v>
      </c>
      <c r="I608" s="244">
        <v>0</v>
      </c>
      <c r="J608" s="244">
        <v>20.16</v>
      </c>
      <c r="K608" s="244" t="s">
        <v>218</v>
      </c>
      <c r="L608" s="244">
        <v>0</v>
      </c>
      <c r="M608" s="244">
        <v>0</v>
      </c>
      <c r="N608" s="244">
        <v>21.46</v>
      </c>
      <c r="O608" s="244"/>
      <c r="P608" s="245"/>
    </row>
    <row r="609" spans="2:16" hidden="1">
      <c r="B609" s="238" t="s">
        <v>108</v>
      </c>
      <c r="C609" s="238" t="s">
        <v>79</v>
      </c>
      <c r="D609" s="238" t="s">
        <v>247</v>
      </c>
      <c r="E609" s="238" t="s">
        <v>354</v>
      </c>
      <c r="F609" s="243" t="str">
        <f t="shared" si="24"/>
        <v>2011-12 - Alkalis</v>
      </c>
      <c r="G609" s="244">
        <v>0</v>
      </c>
      <c r="H609" s="244">
        <v>0</v>
      </c>
      <c r="I609" s="244">
        <v>0</v>
      </c>
      <c r="J609" s="244">
        <v>0</v>
      </c>
      <c r="K609" s="244" t="s">
        <v>218</v>
      </c>
      <c r="L609" s="244">
        <v>0</v>
      </c>
      <c r="M609" s="244">
        <v>0</v>
      </c>
      <c r="N609" s="244">
        <v>82.38</v>
      </c>
      <c r="O609" s="244"/>
      <c r="P609" s="245"/>
    </row>
    <row r="610" spans="2:16">
      <c r="B610" s="238" t="s">
        <v>108</v>
      </c>
      <c r="C610" s="238" t="s">
        <v>79</v>
      </c>
      <c r="D610" s="238" t="s">
        <v>159</v>
      </c>
      <c r="E610" s="238" t="s">
        <v>355</v>
      </c>
      <c r="F610" s="243" t="str">
        <f t="shared" si="24"/>
        <v>2011-12 - Inorganic chemicals</v>
      </c>
      <c r="G610" s="244">
        <v>5861.96</v>
      </c>
      <c r="H610" s="244">
        <v>15145.17</v>
      </c>
      <c r="I610" s="244">
        <v>2.92</v>
      </c>
      <c r="J610" s="244">
        <v>307.02</v>
      </c>
      <c r="K610" s="244" t="s">
        <v>218</v>
      </c>
      <c r="L610" s="244">
        <v>7669.51</v>
      </c>
      <c r="M610" s="244">
        <v>0</v>
      </c>
      <c r="N610" s="244">
        <v>83.93</v>
      </c>
      <c r="O610" s="244"/>
      <c r="P610" s="245"/>
    </row>
    <row r="611" spans="2:16" hidden="1">
      <c r="B611" s="238" t="s">
        <v>108</v>
      </c>
      <c r="C611" s="238" t="s">
        <v>79</v>
      </c>
      <c r="D611" s="238" t="s">
        <v>356</v>
      </c>
      <c r="E611" s="238" t="s">
        <v>357</v>
      </c>
      <c r="F611" s="243" t="str">
        <f t="shared" si="24"/>
        <v>2011-12 - Reactive chemicals</v>
      </c>
      <c r="G611" s="244">
        <v>0</v>
      </c>
      <c r="H611" s="244">
        <v>3</v>
      </c>
      <c r="I611" s="244">
        <v>0</v>
      </c>
      <c r="J611" s="244">
        <v>0</v>
      </c>
      <c r="K611" s="244" t="s">
        <v>218</v>
      </c>
      <c r="L611" s="244">
        <v>0</v>
      </c>
      <c r="M611" s="244">
        <v>0</v>
      </c>
      <c r="N611" s="244">
        <v>0.05</v>
      </c>
      <c r="O611" s="244"/>
      <c r="P611" s="245"/>
    </row>
    <row r="612" spans="2:16" hidden="1">
      <c r="B612" s="238" t="s">
        <v>108</v>
      </c>
      <c r="C612" s="238" t="s">
        <v>79</v>
      </c>
      <c r="D612" s="238" t="s">
        <v>161</v>
      </c>
      <c r="E612" s="238" t="s">
        <v>358</v>
      </c>
      <c r="F612" s="243" t="str">
        <f t="shared" si="24"/>
        <v>2011-12 - Paints, resins, inks organic sludges</v>
      </c>
      <c r="G612" s="244">
        <v>231.76</v>
      </c>
      <c r="H612" s="244">
        <v>249.98</v>
      </c>
      <c r="I612" s="244">
        <v>181.49</v>
      </c>
      <c r="J612" s="244">
        <v>68.09</v>
      </c>
      <c r="K612" s="244" t="s">
        <v>218</v>
      </c>
      <c r="L612" s="244">
        <v>0</v>
      </c>
      <c r="M612" s="244">
        <v>0</v>
      </c>
      <c r="N612" s="244">
        <v>2.1800000000000002</v>
      </c>
      <c r="O612" s="244"/>
      <c r="P612" s="245"/>
    </row>
    <row r="613" spans="2:16" hidden="1">
      <c r="B613" s="238" t="s">
        <v>108</v>
      </c>
      <c r="C613" s="238" t="s">
        <v>79</v>
      </c>
      <c r="D613" s="238" t="s">
        <v>219</v>
      </c>
      <c r="E613" s="238" t="s">
        <v>359</v>
      </c>
      <c r="F613" s="243" t="str">
        <f t="shared" si="24"/>
        <v>2011-12 - Organic solvents</v>
      </c>
      <c r="G613" s="244">
        <v>44.26</v>
      </c>
      <c r="H613" s="244">
        <v>1048.6300000000001</v>
      </c>
      <c r="I613" s="244">
        <v>66.489999999999995</v>
      </c>
      <c r="J613" s="244">
        <v>161.93</v>
      </c>
      <c r="K613" s="244" t="s">
        <v>218</v>
      </c>
      <c r="L613" s="244">
        <v>0</v>
      </c>
      <c r="M613" s="244">
        <v>0</v>
      </c>
      <c r="N613" s="244">
        <v>29.03</v>
      </c>
      <c r="O613" s="244"/>
      <c r="P613" s="245"/>
    </row>
    <row r="614" spans="2:16" hidden="1">
      <c r="B614" s="238" t="s">
        <v>108</v>
      </c>
      <c r="C614" s="238" t="s">
        <v>79</v>
      </c>
      <c r="D614" s="238" t="s">
        <v>228</v>
      </c>
      <c r="E614" s="238" t="s">
        <v>360</v>
      </c>
      <c r="F614" s="243" t="str">
        <f t="shared" si="24"/>
        <v>2011-12 - Pesticides</v>
      </c>
      <c r="G614" s="244">
        <v>7.0000000000000007E-2</v>
      </c>
      <c r="H614" s="244">
        <v>0</v>
      </c>
      <c r="I614" s="244">
        <v>0</v>
      </c>
      <c r="J614" s="244">
        <v>0</v>
      </c>
      <c r="K614" s="244" t="s">
        <v>218</v>
      </c>
      <c r="L614" s="244">
        <v>0</v>
      </c>
      <c r="M614" s="244">
        <v>0</v>
      </c>
      <c r="N614" s="244">
        <v>0.92</v>
      </c>
      <c r="O614" s="244"/>
      <c r="P614" s="245"/>
    </row>
    <row r="615" spans="2:16" hidden="1">
      <c r="B615" s="238" t="s">
        <v>108</v>
      </c>
      <c r="C615" s="238" t="s">
        <v>79</v>
      </c>
      <c r="D615" s="238" t="s">
        <v>231</v>
      </c>
      <c r="E615" s="238" t="s">
        <v>361</v>
      </c>
      <c r="F615" s="243" t="str">
        <f t="shared" si="24"/>
        <v>2011-12 - Oils</v>
      </c>
      <c r="G615" s="244">
        <v>11.08</v>
      </c>
      <c r="H615" s="244">
        <v>92.24</v>
      </c>
      <c r="I615" s="244">
        <v>543.69000000000005</v>
      </c>
      <c r="J615" s="244">
        <v>206.64</v>
      </c>
      <c r="K615" s="244" t="s">
        <v>218</v>
      </c>
      <c r="L615" s="244">
        <v>0</v>
      </c>
      <c r="M615" s="244">
        <v>0</v>
      </c>
      <c r="N615" s="244">
        <v>679.26</v>
      </c>
      <c r="O615" s="244"/>
      <c r="P615" s="245"/>
    </row>
    <row r="616" spans="2:16" hidden="1">
      <c r="B616" s="238" t="s">
        <v>108</v>
      </c>
      <c r="C616" s="238" t="s">
        <v>79</v>
      </c>
      <c r="D616" s="238" t="s">
        <v>362</v>
      </c>
      <c r="E616" s="238" t="s">
        <v>363</v>
      </c>
      <c r="F616" s="243" t="str">
        <f t="shared" si="24"/>
        <v>2011-12 - Putrescible/organic waste</v>
      </c>
      <c r="G616" s="244">
        <v>0</v>
      </c>
      <c r="H616" s="244">
        <v>0</v>
      </c>
      <c r="I616" s="244">
        <v>0</v>
      </c>
      <c r="J616" s="244">
        <v>0</v>
      </c>
      <c r="K616" s="244" t="s">
        <v>218</v>
      </c>
      <c r="L616" s="244">
        <v>0</v>
      </c>
      <c r="M616" s="244">
        <v>0</v>
      </c>
      <c r="N616" s="244">
        <v>0</v>
      </c>
      <c r="O616" s="244"/>
      <c r="P616" s="245"/>
    </row>
    <row r="617" spans="2:16" hidden="1">
      <c r="B617" s="238" t="s">
        <v>108</v>
      </c>
      <c r="C617" s="238" t="s">
        <v>79</v>
      </c>
      <c r="D617" s="238" t="s">
        <v>364</v>
      </c>
      <c r="E617" s="238" t="s">
        <v>365</v>
      </c>
      <c r="F617" s="243" t="str">
        <f t="shared" si="24"/>
        <v>2011-12 - Industrial washwater</v>
      </c>
      <c r="G617" s="244">
        <v>0</v>
      </c>
      <c r="H617" s="244">
        <v>0</v>
      </c>
      <c r="I617" s="244">
        <v>0</v>
      </c>
      <c r="J617" s="244">
        <v>0</v>
      </c>
      <c r="K617" s="244" t="s">
        <v>218</v>
      </c>
      <c r="L617" s="244">
        <v>0</v>
      </c>
      <c r="M617" s="244">
        <v>0</v>
      </c>
      <c r="N617" s="244">
        <v>0</v>
      </c>
      <c r="O617" s="244"/>
      <c r="P617" s="245"/>
    </row>
    <row r="618" spans="2:16" hidden="1">
      <c r="B618" s="238" t="s">
        <v>108</v>
      </c>
      <c r="C618" s="238" t="s">
        <v>79</v>
      </c>
      <c r="D618" s="238" t="s">
        <v>235</v>
      </c>
      <c r="E618" s="238" t="s">
        <v>366</v>
      </c>
      <c r="F618" s="243" t="str">
        <f t="shared" si="24"/>
        <v>2011-12 - Organic chemicals</v>
      </c>
      <c r="G618" s="244">
        <v>0</v>
      </c>
      <c r="H618" s="244">
        <v>8.6300000000000008</v>
      </c>
      <c r="I618" s="244">
        <v>0</v>
      </c>
      <c r="J618" s="244">
        <v>0</v>
      </c>
      <c r="K618" s="244" t="s">
        <v>218</v>
      </c>
      <c r="L618" s="244">
        <v>0</v>
      </c>
      <c r="M618" s="244">
        <v>0</v>
      </c>
      <c r="N618" s="244">
        <v>4.93</v>
      </c>
      <c r="O618" s="244"/>
      <c r="P618" s="245"/>
    </row>
    <row r="619" spans="2:16" hidden="1">
      <c r="B619" s="238" t="s">
        <v>108</v>
      </c>
      <c r="C619" s="238" t="s">
        <v>79</v>
      </c>
      <c r="D619" s="238" t="s">
        <v>367</v>
      </c>
      <c r="E619" s="238" t="s">
        <v>368</v>
      </c>
      <c r="F619" s="243" t="str">
        <f t="shared" si="24"/>
        <v>2011-12 - Soil/sludge</v>
      </c>
      <c r="G619" s="244">
        <v>11.32</v>
      </c>
      <c r="H619" s="244">
        <v>641.69000000000005</v>
      </c>
      <c r="I619" s="244">
        <v>0</v>
      </c>
      <c r="J619" s="244">
        <v>198.67</v>
      </c>
      <c r="K619" s="244" t="s">
        <v>218</v>
      </c>
      <c r="L619" s="244">
        <v>4489</v>
      </c>
      <c r="M619" s="244">
        <v>0</v>
      </c>
      <c r="N619" s="244">
        <v>142.26</v>
      </c>
      <c r="O619" s="244"/>
      <c r="P619" s="245"/>
    </row>
    <row r="620" spans="2:16" hidden="1">
      <c r="B620" s="238" t="s">
        <v>108</v>
      </c>
      <c r="C620" s="238" t="s">
        <v>79</v>
      </c>
      <c r="D620" s="238" t="s">
        <v>216</v>
      </c>
      <c r="E620" s="238" t="s">
        <v>369</v>
      </c>
      <c r="F620" s="243" t="str">
        <f t="shared" ref="F620:F683" si="25">CONCATENATE(C620," - ",E620)</f>
        <v>2011-12 - Clinical &amp; pharmaceutical</v>
      </c>
      <c r="G620" s="244">
        <v>0</v>
      </c>
      <c r="H620" s="244">
        <v>0</v>
      </c>
      <c r="I620" s="244">
        <v>0</v>
      </c>
      <c r="J620" s="244">
        <v>0</v>
      </c>
      <c r="K620" s="244" t="s">
        <v>218</v>
      </c>
      <c r="L620" s="244">
        <v>10</v>
      </c>
      <c r="M620" s="244">
        <v>0</v>
      </c>
      <c r="N620" s="244">
        <v>91.35</v>
      </c>
      <c r="O620" s="244"/>
      <c r="P620" s="245"/>
    </row>
    <row r="621" spans="2:16" hidden="1">
      <c r="B621" s="238" t="s">
        <v>108</v>
      </c>
      <c r="C621" s="238" t="s">
        <v>79</v>
      </c>
      <c r="D621" s="238" t="s">
        <v>370</v>
      </c>
      <c r="E621" s="238" t="s">
        <v>371</v>
      </c>
      <c r="F621" s="243" t="str">
        <f t="shared" si="25"/>
        <v>2011-12 - Misc.</v>
      </c>
      <c r="G621" s="244">
        <v>0.3</v>
      </c>
      <c r="H621" s="244">
        <v>0</v>
      </c>
      <c r="I621" s="244">
        <v>20.48</v>
      </c>
      <c r="J621" s="244">
        <v>72.510000000000005</v>
      </c>
      <c r="K621" s="244" t="s">
        <v>218</v>
      </c>
      <c r="L621" s="244">
        <v>0</v>
      </c>
      <c r="M621" s="244">
        <v>0</v>
      </c>
      <c r="N621" s="244">
        <v>159</v>
      </c>
      <c r="O621" s="244"/>
      <c r="P621" s="245"/>
    </row>
    <row r="622" spans="2:16" hidden="1">
      <c r="B622" s="238" t="s">
        <v>108</v>
      </c>
      <c r="C622" s="238" t="s">
        <v>80</v>
      </c>
      <c r="D622" s="238" t="s">
        <v>157</v>
      </c>
      <c r="E622" s="238" t="s">
        <v>352</v>
      </c>
      <c r="F622" s="243" t="str">
        <f t="shared" si="25"/>
        <v>2010-11 - Plating &amp; heat treatment</v>
      </c>
      <c r="G622" s="244">
        <v>0.25</v>
      </c>
      <c r="H622" s="244">
        <v>27.62</v>
      </c>
      <c r="I622" s="244">
        <v>1.1399999999999999</v>
      </c>
      <c r="J622" s="244"/>
      <c r="K622" s="244" t="s">
        <v>218</v>
      </c>
      <c r="L622" s="244"/>
      <c r="M622" s="244"/>
      <c r="N622" s="244"/>
      <c r="O622" s="244"/>
      <c r="P622" s="245"/>
    </row>
    <row r="623" spans="2:16" hidden="1">
      <c r="B623" s="238" t="s">
        <v>108</v>
      </c>
      <c r="C623" s="238" t="s">
        <v>80</v>
      </c>
      <c r="D623" s="238" t="s">
        <v>186</v>
      </c>
      <c r="E623" s="238" t="s">
        <v>353</v>
      </c>
      <c r="F623" s="243" t="str">
        <f t="shared" si="25"/>
        <v>2010-11 - Acids</v>
      </c>
      <c r="G623" s="244"/>
      <c r="H623" s="244">
        <v>237.2</v>
      </c>
      <c r="I623" s="244"/>
      <c r="J623" s="244"/>
      <c r="K623" s="244" t="s">
        <v>218</v>
      </c>
      <c r="L623" s="244"/>
      <c r="M623" s="244"/>
      <c r="N623" s="244">
        <v>81.11</v>
      </c>
      <c r="O623" s="244"/>
      <c r="P623" s="245"/>
    </row>
    <row r="624" spans="2:16" hidden="1">
      <c r="B624" s="238" t="s">
        <v>108</v>
      </c>
      <c r="C624" s="238" t="s">
        <v>80</v>
      </c>
      <c r="D624" s="238" t="s">
        <v>247</v>
      </c>
      <c r="E624" s="238" t="s">
        <v>354</v>
      </c>
      <c r="F624" s="243" t="str">
        <f t="shared" si="25"/>
        <v>2010-11 - Alkalis</v>
      </c>
      <c r="G624" s="244"/>
      <c r="H624" s="244">
        <v>2.6</v>
      </c>
      <c r="I624" s="244"/>
      <c r="J624" s="244"/>
      <c r="K624" s="244" t="s">
        <v>218</v>
      </c>
      <c r="L624" s="244"/>
      <c r="M624" s="244"/>
      <c r="N624" s="244">
        <v>137.22</v>
      </c>
      <c r="O624" s="244"/>
      <c r="P624" s="245"/>
    </row>
    <row r="625" spans="2:16">
      <c r="B625" s="238" t="s">
        <v>108</v>
      </c>
      <c r="C625" s="238" t="s">
        <v>80</v>
      </c>
      <c r="D625" s="238" t="s">
        <v>159</v>
      </c>
      <c r="E625" s="238" t="s">
        <v>355</v>
      </c>
      <c r="F625" s="243" t="str">
        <f t="shared" si="25"/>
        <v>2010-11 - Inorganic chemicals</v>
      </c>
      <c r="G625" s="244">
        <v>7253.23</v>
      </c>
      <c r="H625" s="244">
        <v>11978.64</v>
      </c>
      <c r="I625" s="244"/>
      <c r="J625" s="244">
        <v>285.92</v>
      </c>
      <c r="K625" s="244" t="s">
        <v>218</v>
      </c>
      <c r="L625" s="244">
        <v>148.19</v>
      </c>
      <c r="M625" s="244"/>
      <c r="N625" s="244">
        <v>155.36000000000001</v>
      </c>
      <c r="O625" s="244"/>
      <c r="P625" s="245"/>
    </row>
    <row r="626" spans="2:16" hidden="1">
      <c r="B626" s="238" t="s">
        <v>108</v>
      </c>
      <c r="C626" s="238" t="s">
        <v>80</v>
      </c>
      <c r="D626" s="238" t="s">
        <v>356</v>
      </c>
      <c r="E626" s="238" t="s">
        <v>357</v>
      </c>
      <c r="F626" s="243" t="str">
        <f t="shared" si="25"/>
        <v>2010-11 - Reactive chemicals</v>
      </c>
      <c r="G626" s="244"/>
      <c r="H626" s="244">
        <v>0.5</v>
      </c>
      <c r="I626" s="244"/>
      <c r="J626" s="244"/>
      <c r="K626" s="244" t="s">
        <v>218</v>
      </c>
      <c r="L626" s="244"/>
      <c r="M626" s="244"/>
      <c r="N626" s="244">
        <v>8</v>
      </c>
      <c r="O626" s="244"/>
      <c r="P626" s="245"/>
    </row>
    <row r="627" spans="2:16" hidden="1">
      <c r="B627" s="238" t="s">
        <v>108</v>
      </c>
      <c r="C627" s="238" t="s">
        <v>80</v>
      </c>
      <c r="D627" s="238" t="s">
        <v>161</v>
      </c>
      <c r="E627" s="238" t="s">
        <v>358</v>
      </c>
      <c r="F627" s="243" t="str">
        <f t="shared" si="25"/>
        <v>2010-11 - Paints, resins, inks organic sludges</v>
      </c>
      <c r="G627" s="244">
        <v>558.34</v>
      </c>
      <c r="H627" s="244"/>
      <c r="I627" s="244">
        <v>657.85</v>
      </c>
      <c r="J627" s="244"/>
      <c r="K627" s="244" t="s">
        <v>218</v>
      </c>
      <c r="L627" s="244"/>
      <c r="M627" s="244"/>
      <c r="N627" s="244">
        <v>12</v>
      </c>
      <c r="O627" s="244"/>
      <c r="P627" s="245"/>
    </row>
    <row r="628" spans="2:16" hidden="1">
      <c r="B628" s="238" t="s">
        <v>108</v>
      </c>
      <c r="C628" s="238" t="s">
        <v>80</v>
      </c>
      <c r="D628" s="238" t="s">
        <v>219</v>
      </c>
      <c r="E628" s="238" t="s">
        <v>359</v>
      </c>
      <c r="F628" s="243" t="str">
        <f t="shared" si="25"/>
        <v>2010-11 - Organic solvents</v>
      </c>
      <c r="G628" s="244">
        <v>101.32</v>
      </c>
      <c r="H628" s="244">
        <v>2683.83</v>
      </c>
      <c r="I628" s="244">
        <v>1.6</v>
      </c>
      <c r="J628" s="244">
        <v>341.99</v>
      </c>
      <c r="K628" s="244" t="s">
        <v>218</v>
      </c>
      <c r="L628" s="244"/>
      <c r="M628" s="244"/>
      <c r="N628" s="244">
        <v>85.02</v>
      </c>
      <c r="O628" s="244"/>
      <c r="P628" s="245"/>
    </row>
    <row r="629" spans="2:16" hidden="1">
      <c r="B629" s="238" t="s">
        <v>108</v>
      </c>
      <c r="C629" s="238" t="s">
        <v>80</v>
      </c>
      <c r="D629" s="238" t="s">
        <v>228</v>
      </c>
      <c r="E629" s="238" t="s">
        <v>360</v>
      </c>
      <c r="F629" s="243" t="str">
        <f t="shared" si="25"/>
        <v>2010-11 - Pesticides</v>
      </c>
      <c r="G629" s="244"/>
      <c r="H629" s="244"/>
      <c r="I629" s="244"/>
      <c r="J629" s="244"/>
      <c r="K629" s="244" t="s">
        <v>218</v>
      </c>
      <c r="L629" s="244"/>
      <c r="M629" s="244"/>
      <c r="N629" s="244">
        <v>0.25</v>
      </c>
      <c r="O629" s="244"/>
      <c r="P629" s="245"/>
    </row>
    <row r="630" spans="2:16" hidden="1">
      <c r="B630" s="238" t="s">
        <v>108</v>
      </c>
      <c r="C630" s="238" t="s">
        <v>80</v>
      </c>
      <c r="D630" s="238" t="s">
        <v>231</v>
      </c>
      <c r="E630" s="238" t="s">
        <v>361</v>
      </c>
      <c r="F630" s="243" t="str">
        <f t="shared" si="25"/>
        <v>2010-11 - Oils</v>
      </c>
      <c r="G630" s="244">
        <v>93.94</v>
      </c>
      <c r="H630" s="244">
        <v>140.80000000000001</v>
      </c>
      <c r="I630" s="244">
        <v>547.79999999999995</v>
      </c>
      <c r="J630" s="244">
        <v>536.69000000000005</v>
      </c>
      <c r="K630" s="244" t="s">
        <v>218</v>
      </c>
      <c r="L630" s="244"/>
      <c r="M630" s="244"/>
      <c r="N630" s="244">
        <v>3724.1</v>
      </c>
      <c r="O630" s="244"/>
      <c r="P630" s="245"/>
    </row>
    <row r="631" spans="2:16" hidden="1">
      <c r="B631" s="238" t="s">
        <v>108</v>
      </c>
      <c r="C631" s="238" t="s">
        <v>80</v>
      </c>
      <c r="D631" s="238" t="s">
        <v>362</v>
      </c>
      <c r="E631" s="238" t="s">
        <v>363</v>
      </c>
      <c r="F631" s="243" t="str">
        <f t="shared" si="25"/>
        <v>2010-11 - Putrescible/organic waste</v>
      </c>
      <c r="G631" s="244"/>
      <c r="H631" s="244"/>
      <c r="I631" s="244"/>
      <c r="J631" s="244"/>
      <c r="K631" s="244" t="s">
        <v>218</v>
      </c>
      <c r="L631" s="244"/>
      <c r="M631" s="244"/>
      <c r="N631" s="244">
        <v>4</v>
      </c>
      <c r="O631" s="244"/>
      <c r="P631" s="245"/>
    </row>
    <row r="632" spans="2:16" hidden="1">
      <c r="B632" s="238" t="s">
        <v>108</v>
      </c>
      <c r="C632" s="238" t="s">
        <v>80</v>
      </c>
      <c r="D632" s="238" t="s">
        <v>364</v>
      </c>
      <c r="E632" s="238" t="s">
        <v>365</v>
      </c>
      <c r="F632" s="243" t="str">
        <f t="shared" si="25"/>
        <v>2010-11 - Industrial washwater</v>
      </c>
      <c r="G632" s="244"/>
      <c r="H632" s="244"/>
      <c r="I632" s="244"/>
      <c r="J632" s="244"/>
      <c r="K632" s="244" t="s">
        <v>218</v>
      </c>
      <c r="L632" s="244"/>
      <c r="M632" s="244"/>
      <c r="N632" s="244"/>
      <c r="O632" s="244"/>
      <c r="P632" s="245"/>
    </row>
    <row r="633" spans="2:16" hidden="1">
      <c r="B633" s="238" t="s">
        <v>108</v>
      </c>
      <c r="C633" s="238" t="s">
        <v>80</v>
      </c>
      <c r="D633" s="238" t="s">
        <v>235</v>
      </c>
      <c r="E633" s="238" t="s">
        <v>366</v>
      </c>
      <c r="F633" s="243" t="str">
        <f t="shared" si="25"/>
        <v>2010-11 - Organic chemicals</v>
      </c>
      <c r="G633" s="244"/>
      <c r="H633" s="244">
        <v>20.89</v>
      </c>
      <c r="I633" s="244"/>
      <c r="J633" s="244"/>
      <c r="K633" s="244" t="s">
        <v>218</v>
      </c>
      <c r="L633" s="244"/>
      <c r="M633" s="244"/>
      <c r="N633" s="244"/>
      <c r="O633" s="244"/>
      <c r="P633" s="245"/>
    </row>
    <row r="634" spans="2:16" hidden="1">
      <c r="B634" s="238" t="s">
        <v>108</v>
      </c>
      <c r="C634" s="238" t="s">
        <v>80</v>
      </c>
      <c r="D634" s="238" t="s">
        <v>367</v>
      </c>
      <c r="E634" s="238" t="s">
        <v>368</v>
      </c>
      <c r="F634" s="243" t="str">
        <f t="shared" si="25"/>
        <v>2010-11 - Soil/sludge</v>
      </c>
      <c r="G634" s="244"/>
      <c r="H634" s="244">
        <v>4.93</v>
      </c>
      <c r="I634" s="244"/>
      <c r="J634" s="244">
        <v>216</v>
      </c>
      <c r="K634" s="244" t="s">
        <v>218</v>
      </c>
      <c r="L634" s="244">
        <v>5509.9</v>
      </c>
      <c r="M634" s="244"/>
      <c r="N634" s="244">
        <v>286.3</v>
      </c>
      <c r="O634" s="244"/>
      <c r="P634" s="245"/>
    </row>
    <row r="635" spans="2:16" hidden="1">
      <c r="B635" s="238" t="s">
        <v>108</v>
      </c>
      <c r="C635" s="238" t="s">
        <v>80</v>
      </c>
      <c r="D635" s="238" t="s">
        <v>216</v>
      </c>
      <c r="E635" s="238" t="s">
        <v>369</v>
      </c>
      <c r="F635" s="243" t="str">
        <f t="shared" si="25"/>
        <v>2010-11 - Clinical &amp; pharmaceutical</v>
      </c>
      <c r="G635" s="244"/>
      <c r="H635" s="244"/>
      <c r="I635" s="244"/>
      <c r="J635" s="244"/>
      <c r="K635" s="244" t="s">
        <v>218</v>
      </c>
      <c r="L635" s="244">
        <v>25.84</v>
      </c>
      <c r="M635" s="244"/>
      <c r="N635" s="244">
        <v>141.99</v>
      </c>
      <c r="O635" s="244"/>
      <c r="P635" s="245"/>
    </row>
    <row r="636" spans="2:16" hidden="1">
      <c r="B636" s="238" t="s">
        <v>108</v>
      </c>
      <c r="C636" s="238" t="s">
        <v>80</v>
      </c>
      <c r="D636" s="238" t="s">
        <v>370</v>
      </c>
      <c r="E636" s="238" t="s">
        <v>371</v>
      </c>
      <c r="F636" s="243" t="str">
        <f t="shared" si="25"/>
        <v>2010-11 - Misc.</v>
      </c>
      <c r="G636" s="244">
        <v>22.95</v>
      </c>
      <c r="H636" s="244"/>
      <c r="I636" s="244"/>
      <c r="J636" s="244"/>
      <c r="K636" s="244" t="s">
        <v>218</v>
      </c>
      <c r="L636" s="244"/>
      <c r="M636" s="244"/>
      <c r="N636" s="244">
        <v>402.51</v>
      </c>
      <c r="O636" s="244"/>
      <c r="P636" s="245"/>
    </row>
    <row r="637" spans="2:16" hidden="1">
      <c r="B637" s="238" t="s">
        <v>108</v>
      </c>
      <c r="C637" s="238" t="s">
        <v>81</v>
      </c>
      <c r="D637" s="238" t="s">
        <v>157</v>
      </c>
      <c r="E637" s="238" t="s">
        <v>352</v>
      </c>
      <c r="F637" s="243" t="str">
        <f t="shared" si="25"/>
        <v>2009-10 - Plating &amp; heat treatment</v>
      </c>
      <c r="G637" s="244"/>
      <c r="H637" s="244">
        <v>0.6</v>
      </c>
      <c r="I637" s="244">
        <v>3.74</v>
      </c>
      <c r="J637" s="244"/>
      <c r="K637" s="244" t="s">
        <v>218</v>
      </c>
      <c r="L637" s="244"/>
      <c r="M637" s="244"/>
      <c r="N637" s="244"/>
      <c r="O637" s="244"/>
      <c r="P637" s="245"/>
    </row>
    <row r="638" spans="2:16" hidden="1">
      <c r="B638" s="238" t="s">
        <v>108</v>
      </c>
      <c r="C638" s="238" t="s">
        <v>81</v>
      </c>
      <c r="D638" s="238" t="s">
        <v>186</v>
      </c>
      <c r="E638" s="238" t="s">
        <v>353</v>
      </c>
      <c r="F638" s="243" t="str">
        <f t="shared" si="25"/>
        <v>2009-10 - Acids</v>
      </c>
      <c r="G638" s="244"/>
      <c r="H638" s="244"/>
      <c r="I638" s="244"/>
      <c r="J638" s="244"/>
      <c r="K638" s="244" t="s">
        <v>218</v>
      </c>
      <c r="L638" s="244"/>
      <c r="M638" s="244"/>
      <c r="N638" s="244">
        <v>15.82</v>
      </c>
      <c r="O638" s="244"/>
      <c r="P638" s="245"/>
    </row>
    <row r="639" spans="2:16" hidden="1">
      <c r="B639" s="238" t="s">
        <v>108</v>
      </c>
      <c r="C639" s="238" t="s">
        <v>81</v>
      </c>
      <c r="D639" s="238" t="s">
        <v>247</v>
      </c>
      <c r="E639" s="238" t="s">
        <v>354</v>
      </c>
      <c r="F639" s="243" t="str">
        <f t="shared" si="25"/>
        <v>2009-10 - Alkalis</v>
      </c>
      <c r="G639" s="244"/>
      <c r="H639" s="244"/>
      <c r="I639" s="244"/>
      <c r="J639" s="244"/>
      <c r="K639" s="244" t="s">
        <v>218</v>
      </c>
      <c r="L639" s="244"/>
      <c r="M639" s="244"/>
      <c r="N639" s="244">
        <v>165.08</v>
      </c>
      <c r="O639" s="244"/>
      <c r="P639" s="245"/>
    </row>
    <row r="640" spans="2:16">
      <c r="B640" s="238" t="s">
        <v>108</v>
      </c>
      <c r="C640" s="238" t="s">
        <v>81</v>
      </c>
      <c r="D640" s="238" t="s">
        <v>159</v>
      </c>
      <c r="E640" s="238" t="s">
        <v>355</v>
      </c>
      <c r="F640" s="243" t="str">
        <f t="shared" si="25"/>
        <v>2009-10 - Inorganic chemicals</v>
      </c>
      <c r="G640" s="244">
        <v>2489.83</v>
      </c>
      <c r="H640" s="244">
        <v>13201.51</v>
      </c>
      <c r="I640" s="244">
        <v>467.45</v>
      </c>
      <c r="J640" s="244">
        <v>220.47</v>
      </c>
      <c r="K640" s="244" t="s">
        <v>218</v>
      </c>
      <c r="L640" s="244">
        <v>70.92</v>
      </c>
      <c r="M640" s="244"/>
      <c r="N640" s="244">
        <v>0.02</v>
      </c>
      <c r="O640" s="244"/>
      <c r="P640" s="245"/>
    </row>
    <row r="641" spans="2:16" hidden="1">
      <c r="B641" s="238" t="s">
        <v>108</v>
      </c>
      <c r="C641" s="238" t="s">
        <v>81</v>
      </c>
      <c r="D641" s="238" t="s">
        <v>356</v>
      </c>
      <c r="E641" s="238" t="s">
        <v>357</v>
      </c>
      <c r="F641" s="243" t="str">
        <f t="shared" si="25"/>
        <v>2009-10 - Reactive chemicals</v>
      </c>
      <c r="G641" s="244"/>
      <c r="H641" s="244">
        <v>2.6</v>
      </c>
      <c r="I641" s="244"/>
      <c r="J641" s="244"/>
      <c r="K641" s="244" t="s">
        <v>218</v>
      </c>
      <c r="L641" s="244"/>
      <c r="M641" s="244"/>
      <c r="N641" s="244"/>
      <c r="O641" s="244"/>
      <c r="P641" s="245"/>
    </row>
    <row r="642" spans="2:16" hidden="1">
      <c r="B642" s="238" t="s">
        <v>108</v>
      </c>
      <c r="C642" s="238" t="s">
        <v>81</v>
      </c>
      <c r="D642" s="238" t="s">
        <v>161</v>
      </c>
      <c r="E642" s="238" t="s">
        <v>358</v>
      </c>
      <c r="F642" s="243" t="str">
        <f t="shared" si="25"/>
        <v>2009-10 - Paints, resins, inks organic sludges</v>
      </c>
      <c r="G642" s="244">
        <v>855.01</v>
      </c>
      <c r="H642" s="244">
        <v>68.42</v>
      </c>
      <c r="I642" s="244">
        <v>635.14</v>
      </c>
      <c r="J642" s="244"/>
      <c r="K642" s="244" t="s">
        <v>218</v>
      </c>
      <c r="L642" s="244"/>
      <c r="M642" s="244"/>
      <c r="N642" s="244">
        <v>10.4</v>
      </c>
      <c r="O642" s="244"/>
      <c r="P642" s="245"/>
    </row>
    <row r="643" spans="2:16" hidden="1">
      <c r="B643" s="238" t="s">
        <v>108</v>
      </c>
      <c r="C643" s="238" t="s">
        <v>81</v>
      </c>
      <c r="D643" s="238" t="s">
        <v>219</v>
      </c>
      <c r="E643" s="238" t="s">
        <v>359</v>
      </c>
      <c r="F643" s="243" t="str">
        <f t="shared" si="25"/>
        <v>2009-10 - Organic solvents</v>
      </c>
      <c r="G643" s="244">
        <v>140.5</v>
      </c>
      <c r="H643" s="244">
        <v>1919.05</v>
      </c>
      <c r="I643" s="244">
        <v>3.2</v>
      </c>
      <c r="J643" s="244">
        <v>466.73</v>
      </c>
      <c r="K643" s="244" t="s">
        <v>218</v>
      </c>
      <c r="L643" s="244"/>
      <c r="M643" s="244"/>
      <c r="N643" s="244">
        <v>30.9</v>
      </c>
      <c r="O643" s="244"/>
      <c r="P643" s="245"/>
    </row>
    <row r="644" spans="2:16" hidden="1">
      <c r="B644" s="238" t="s">
        <v>108</v>
      </c>
      <c r="C644" s="238" t="s">
        <v>81</v>
      </c>
      <c r="D644" s="238" t="s">
        <v>228</v>
      </c>
      <c r="E644" s="238" t="s">
        <v>360</v>
      </c>
      <c r="F644" s="243" t="str">
        <f t="shared" si="25"/>
        <v>2009-10 - Pesticides</v>
      </c>
      <c r="G644" s="244"/>
      <c r="H644" s="244"/>
      <c r="I644" s="244"/>
      <c r="J644" s="244"/>
      <c r="K644" s="244" t="s">
        <v>218</v>
      </c>
      <c r="L644" s="244"/>
      <c r="M644" s="244"/>
      <c r="N644" s="244">
        <v>0.16</v>
      </c>
      <c r="O644" s="244"/>
      <c r="P644" s="245"/>
    </row>
    <row r="645" spans="2:16" hidden="1">
      <c r="B645" s="238" t="s">
        <v>108</v>
      </c>
      <c r="C645" s="238" t="s">
        <v>81</v>
      </c>
      <c r="D645" s="238" t="s">
        <v>231</v>
      </c>
      <c r="E645" s="238" t="s">
        <v>361</v>
      </c>
      <c r="F645" s="243" t="str">
        <f t="shared" si="25"/>
        <v>2009-10 - Oils</v>
      </c>
      <c r="G645" s="244">
        <v>39.700000000000003</v>
      </c>
      <c r="H645" s="244">
        <v>312.7</v>
      </c>
      <c r="I645" s="244">
        <v>403.35</v>
      </c>
      <c r="J645" s="244">
        <v>598.54</v>
      </c>
      <c r="K645" s="244" t="s">
        <v>218</v>
      </c>
      <c r="L645" s="244"/>
      <c r="M645" s="244"/>
      <c r="N645" s="244">
        <v>1886.71</v>
      </c>
      <c r="O645" s="244"/>
      <c r="P645" s="245"/>
    </row>
    <row r="646" spans="2:16" hidden="1">
      <c r="B646" s="238" t="s">
        <v>108</v>
      </c>
      <c r="C646" s="238" t="s">
        <v>81</v>
      </c>
      <c r="D646" s="238" t="s">
        <v>362</v>
      </c>
      <c r="E646" s="238" t="s">
        <v>363</v>
      </c>
      <c r="F646" s="243" t="str">
        <f t="shared" si="25"/>
        <v>2009-10 - Putrescible/organic waste</v>
      </c>
      <c r="G646" s="244"/>
      <c r="H646" s="244"/>
      <c r="I646" s="244"/>
      <c r="J646" s="244"/>
      <c r="K646" s="244" t="s">
        <v>218</v>
      </c>
      <c r="L646" s="244"/>
      <c r="M646" s="244"/>
      <c r="N646" s="244">
        <v>10</v>
      </c>
      <c r="O646" s="244"/>
      <c r="P646" s="245"/>
    </row>
    <row r="647" spans="2:16" hidden="1">
      <c r="B647" s="238" t="s">
        <v>108</v>
      </c>
      <c r="C647" s="238" t="s">
        <v>81</v>
      </c>
      <c r="D647" s="238" t="s">
        <v>364</v>
      </c>
      <c r="E647" s="238" t="s">
        <v>365</v>
      </c>
      <c r="F647" s="243" t="str">
        <f t="shared" si="25"/>
        <v>2009-10 - Industrial washwater</v>
      </c>
      <c r="G647" s="244"/>
      <c r="H647" s="244"/>
      <c r="I647" s="244"/>
      <c r="J647" s="244"/>
      <c r="K647" s="244" t="s">
        <v>218</v>
      </c>
      <c r="L647" s="244"/>
      <c r="M647" s="244"/>
      <c r="N647" s="244"/>
      <c r="O647" s="244"/>
      <c r="P647" s="245"/>
    </row>
    <row r="648" spans="2:16" hidden="1">
      <c r="B648" s="238" t="s">
        <v>108</v>
      </c>
      <c r="C648" s="238" t="s">
        <v>81</v>
      </c>
      <c r="D648" s="238" t="s">
        <v>235</v>
      </c>
      <c r="E648" s="238" t="s">
        <v>366</v>
      </c>
      <c r="F648" s="243" t="str">
        <f t="shared" si="25"/>
        <v>2009-10 - Organic chemicals</v>
      </c>
      <c r="G648" s="244"/>
      <c r="H648" s="244"/>
      <c r="I648" s="244"/>
      <c r="J648" s="244"/>
      <c r="K648" s="244" t="s">
        <v>218</v>
      </c>
      <c r="L648" s="244"/>
      <c r="M648" s="244"/>
      <c r="N648" s="244">
        <v>20.010000000000002</v>
      </c>
      <c r="O648" s="244"/>
      <c r="P648" s="245"/>
    </row>
    <row r="649" spans="2:16" hidden="1">
      <c r="B649" s="238" t="s">
        <v>108</v>
      </c>
      <c r="C649" s="238" t="s">
        <v>81</v>
      </c>
      <c r="D649" s="238" t="s">
        <v>367</v>
      </c>
      <c r="E649" s="238" t="s">
        <v>368</v>
      </c>
      <c r="F649" s="243" t="str">
        <f t="shared" si="25"/>
        <v>2009-10 - Soil/sludge</v>
      </c>
      <c r="G649" s="244">
        <v>1.2</v>
      </c>
      <c r="H649" s="244"/>
      <c r="I649" s="244"/>
      <c r="J649" s="244">
        <v>245.7</v>
      </c>
      <c r="K649" s="244" t="s">
        <v>218</v>
      </c>
      <c r="L649" s="244"/>
      <c r="M649" s="244"/>
      <c r="N649" s="244">
        <v>4</v>
      </c>
      <c r="O649" s="244"/>
      <c r="P649" s="245"/>
    </row>
    <row r="650" spans="2:16" hidden="1">
      <c r="B650" s="238" t="s">
        <v>108</v>
      </c>
      <c r="C650" s="238" t="s">
        <v>81</v>
      </c>
      <c r="D650" s="238" t="s">
        <v>216</v>
      </c>
      <c r="E650" s="238" t="s">
        <v>369</v>
      </c>
      <c r="F650" s="243" t="str">
        <f t="shared" si="25"/>
        <v>2009-10 - Clinical &amp; pharmaceutical</v>
      </c>
      <c r="G650" s="244"/>
      <c r="H650" s="244"/>
      <c r="I650" s="244"/>
      <c r="J650" s="244"/>
      <c r="K650" s="244" t="s">
        <v>218</v>
      </c>
      <c r="L650" s="244">
        <v>19.170000000000002</v>
      </c>
      <c r="M650" s="244"/>
      <c r="N650" s="244">
        <v>117.8</v>
      </c>
      <c r="O650" s="244"/>
      <c r="P650" s="245"/>
    </row>
    <row r="651" spans="2:16" hidden="1">
      <c r="B651" s="238" t="s">
        <v>108</v>
      </c>
      <c r="C651" s="238" t="s">
        <v>81</v>
      </c>
      <c r="D651" s="238" t="s">
        <v>370</v>
      </c>
      <c r="E651" s="238" t="s">
        <v>371</v>
      </c>
      <c r="F651" s="243" t="str">
        <f t="shared" si="25"/>
        <v>2009-10 - Misc.</v>
      </c>
      <c r="G651" s="244">
        <v>1</v>
      </c>
      <c r="H651" s="244"/>
      <c r="I651" s="244"/>
      <c r="J651" s="244">
        <v>21.48</v>
      </c>
      <c r="K651" s="244" t="s">
        <v>218</v>
      </c>
      <c r="L651" s="244"/>
      <c r="M651" s="244"/>
      <c r="N651" s="244">
        <v>273.42</v>
      </c>
      <c r="O651" s="244"/>
      <c r="P651" s="245"/>
    </row>
    <row r="652" spans="2:16" hidden="1">
      <c r="B652" s="238" t="s">
        <v>108</v>
      </c>
      <c r="C652" s="238" t="s">
        <v>82</v>
      </c>
      <c r="D652" s="238" t="s">
        <v>157</v>
      </c>
      <c r="E652" s="238" t="s">
        <v>352</v>
      </c>
      <c r="F652" s="243" t="str">
        <f t="shared" si="25"/>
        <v>2008-09 - Plating &amp; heat treatment</v>
      </c>
      <c r="G652" s="244">
        <v>2.19</v>
      </c>
      <c r="H652" s="244">
        <v>3.4</v>
      </c>
      <c r="I652" s="244">
        <v>3.94</v>
      </c>
      <c r="J652" s="244"/>
      <c r="K652" s="244" t="s">
        <v>218</v>
      </c>
      <c r="L652" s="244"/>
      <c r="M652" s="244">
        <v>0.05</v>
      </c>
      <c r="N652" s="244"/>
      <c r="O652" s="244"/>
      <c r="P652" s="245"/>
    </row>
    <row r="653" spans="2:16" hidden="1">
      <c r="B653" s="238" t="s">
        <v>108</v>
      </c>
      <c r="C653" s="238" t="s">
        <v>82</v>
      </c>
      <c r="D653" s="238" t="s">
        <v>186</v>
      </c>
      <c r="E653" s="238" t="s">
        <v>353</v>
      </c>
      <c r="F653" s="243" t="str">
        <f t="shared" si="25"/>
        <v>2008-09 - Acids</v>
      </c>
      <c r="G653" s="244"/>
      <c r="H653" s="244"/>
      <c r="I653" s="244"/>
      <c r="J653" s="244"/>
      <c r="K653" s="244" t="s">
        <v>218</v>
      </c>
      <c r="L653" s="244"/>
      <c r="M653" s="244">
        <v>4.66</v>
      </c>
      <c r="N653" s="244"/>
      <c r="O653" s="244"/>
      <c r="P653" s="245"/>
    </row>
    <row r="654" spans="2:16" hidden="1">
      <c r="B654" s="238" t="s">
        <v>108</v>
      </c>
      <c r="C654" s="238" t="s">
        <v>82</v>
      </c>
      <c r="D654" s="238" t="s">
        <v>247</v>
      </c>
      <c r="E654" s="238" t="s">
        <v>354</v>
      </c>
      <c r="F654" s="243" t="str">
        <f t="shared" si="25"/>
        <v>2008-09 - Alkalis</v>
      </c>
      <c r="G654" s="244"/>
      <c r="H654" s="244">
        <v>1</v>
      </c>
      <c r="I654" s="244"/>
      <c r="J654" s="244"/>
      <c r="K654" s="244" t="s">
        <v>218</v>
      </c>
      <c r="L654" s="244"/>
      <c r="M654" s="244">
        <v>205.9</v>
      </c>
      <c r="N654" s="244"/>
      <c r="O654" s="244"/>
      <c r="P654" s="245"/>
    </row>
    <row r="655" spans="2:16">
      <c r="B655" s="238" t="s">
        <v>108</v>
      </c>
      <c r="C655" s="238" t="s">
        <v>82</v>
      </c>
      <c r="D655" s="238" t="s">
        <v>159</v>
      </c>
      <c r="E655" s="238" t="s">
        <v>355</v>
      </c>
      <c r="F655" s="243" t="str">
        <f t="shared" si="25"/>
        <v>2008-09 - Inorganic chemicals</v>
      </c>
      <c r="G655" s="244">
        <v>2807.99</v>
      </c>
      <c r="H655" s="244">
        <v>6067.92</v>
      </c>
      <c r="I655" s="244"/>
      <c r="J655" s="244">
        <v>123.93</v>
      </c>
      <c r="K655" s="244" t="s">
        <v>218</v>
      </c>
      <c r="L655" s="244">
        <v>44.18</v>
      </c>
      <c r="M655" s="244">
        <v>0.3</v>
      </c>
      <c r="N655" s="244"/>
      <c r="O655" s="244"/>
      <c r="P655" s="245"/>
    </row>
    <row r="656" spans="2:16" hidden="1">
      <c r="B656" s="238" t="s">
        <v>108</v>
      </c>
      <c r="C656" s="238" t="s">
        <v>82</v>
      </c>
      <c r="D656" s="238" t="s">
        <v>356</v>
      </c>
      <c r="E656" s="238" t="s">
        <v>357</v>
      </c>
      <c r="F656" s="243" t="str">
        <f t="shared" si="25"/>
        <v>2008-09 - Reactive chemicals</v>
      </c>
      <c r="G656" s="244">
        <v>1.69</v>
      </c>
      <c r="H656" s="244">
        <v>0.51</v>
      </c>
      <c r="I656" s="244"/>
      <c r="J656" s="244"/>
      <c r="K656" s="244" t="s">
        <v>218</v>
      </c>
      <c r="L656" s="244"/>
      <c r="M656" s="244"/>
      <c r="N656" s="244"/>
      <c r="O656" s="244"/>
      <c r="P656" s="245"/>
    </row>
    <row r="657" spans="2:16" hidden="1">
      <c r="B657" s="238" t="s">
        <v>108</v>
      </c>
      <c r="C657" s="238" t="s">
        <v>82</v>
      </c>
      <c r="D657" s="238" t="s">
        <v>161</v>
      </c>
      <c r="E657" s="238" t="s">
        <v>358</v>
      </c>
      <c r="F657" s="243" t="str">
        <f t="shared" si="25"/>
        <v>2008-09 - Paints, resins, inks organic sludges</v>
      </c>
      <c r="G657" s="244">
        <v>59.75</v>
      </c>
      <c r="H657" s="244"/>
      <c r="I657" s="244"/>
      <c r="J657" s="244"/>
      <c r="K657" s="244" t="s">
        <v>218</v>
      </c>
      <c r="L657" s="244"/>
      <c r="M657" s="244">
        <v>15.76</v>
      </c>
      <c r="N657" s="244"/>
      <c r="O657" s="244"/>
      <c r="P657" s="245"/>
    </row>
    <row r="658" spans="2:16" hidden="1">
      <c r="B658" s="238" t="s">
        <v>108</v>
      </c>
      <c r="C658" s="238" t="s">
        <v>82</v>
      </c>
      <c r="D658" s="238" t="s">
        <v>219</v>
      </c>
      <c r="E658" s="238" t="s">
        <v>359</v>
      </c>
      <c r="F658" s="243" t="str">
        <f t="shared" si="25"/>
        <v>2008-09 - Organic solvents</v>
      </c>
      <c r="G658" s="244">
        <v>95.71</v>
      </c>
      <c r="H658" s="244">
        <v>610.96</v>
      </c>
      <c r="I658" s="244">
        <v>9.6</v>
      </c>
      <c r="J658" s="244">
        <v>209.08</v>
      </c>
      <c r="K658" s="244" t="s">
        <v>218</v>
      </c>
      <c r="L658" s="244"/>
      <c r="M658" s="244">
        <v>10.130000000000001</v>
      </c>
      <c r="N658" s="244"/>
      <c r="O658" s="244"/>
      <c r="P658" s="245"/>
    </row>
    <row r="659" spans="2:16" hidden="1">
      <c r="B659" s="238" t="s">
        <v>108</v>
      </c>
      <c r="C659" s="238" t="s">
        <v>82</v>
      </c>
      <c r="D659" s="238" t="s">
        <v>228</v>
      </c>
      <c r="E659" s="238" t="s">
        <v>360</v>
      </c>
      <c r="F659" s="243" t="str">
        <f t="shared" si="25"/>
        <v>2008-09 - Pesticides</v>
      </c>
      <c r="G659" s="244"/>
      <c r="H659" s="244"/>
      <c r="I659" s="244"/>
      <c r="J659" s="244"/>
      <c r="K659" s="244" t="s">
        <v>218</v>
      </c>
      <c r="L659" s="244"/>
      <c r="M659" s="244">
        <v>0.1</v>
      </c>
      <c r="N659" s="244"/>
      <c r="O659" s="244"/>
      <c r="P659" s="245"/>
    </row>
    <row r="660" spans="2:16" hidden="1">
      <c r="B660" s="238" t="s">
        <v>108</v>
      </c>
      <c r="C660" s="238" t="s">
        <v>82</v>
      </c>
      <c r="D660" s="238" t="s">
        <v>231</v>
      </c>
      <c r="E660" s="238" t="s">
        <v>361</v>
      </c>
      <c r="F660" s="243" t="str">
        <f t="shared" si="25"/>
        <v>2008-09 - Oils</v>
      </c>
      <c r="G660" s="244">
        <v>5.8</v>
      </c>
      <c r="H660" s="244">
        <v>1834.56</v>
      </c>
      <c r="I660" s="244">
        <v>1347.67</v>
      </c>
      <c r="J660" s="244">
        <v>270.49</v>
      </c>
      <c r="K660" s="244" t="s">
        <v>218</v>
      </c>
      <c r="L660" s="244"/>
      <c r="M660" s="244">
        <v>1839.97</v>
      </c>
      <c r="N660" s="244"/>
      <c r="O660" s="244"/>
      <c r="P660" s="245"/>
    </row>
    <row r="661" spans="2:16" hidden="1">
      <c r="B661" s="238" t="s">
        <v>108</v>
      </c>
      <c r="C661" s="238" t="s">
        <v>82</v>
      </c>
      <c r="D661" s="238" t="s">
        <v>362</v>
      </c>
      <c r="E661" s="238" t="s">
        <v>363</v>
      </c>
      <c r="F661" s="243" t="str">
        <f t="shared" si="25"/>
        <v>2008-09 - Putrescible/organic waste</v>
      </c>
      <c r="G661" s="244"/>
      <c r="H661" s="244"/>
      <c r="I661" s="244"/>
      <c r="J661" s="244"/>
      <c r="K661" s="244" t="s">
        <v>218</v>
      </c>
      <c r="L661" s="244"/>
      <c r="M661" s="244"/>
      <c r="N661" s="244"/>
      <c r="O661" s="244"/>
      <c r="P661" s="245"/>
    </row>
    <row r="662" spans="2:16" hidden="1">
      <c r="B662" s="238" t="s">
        <v>108</v>
      </c>
      <c r="C662" s="238" t="s">
        <v>82</v>
      </c>
      <c r="D662" s="238" t="s">
        <v>364</v>
      </c>
      <c r="E662" s="238" t="s">
        <v>365</v>
      </c>
      <c r="F662" s="243" t="str">
        <f t="shared" si="25"/>
        <v>2008-09 - Industrial washwater</v>
      </c>
      <c r="G662" s="244"/>
      <c r="H662" s="244"/>
      <c r="I662" s="244"/>
      <c r="J662" s="244"/>
      <c r="K662" s="244" t="s">
        <v>218</v>
      </c>
      <c r="L662" s="244"/>
      <c r="M662" s="244"/>
      <c r="N662" s="244"/>
      <c r="O662" s="244"/>
      <c r="P662" s="245"/>
    </row>
    <row r="663" spans="2:16" hidden="1">
      <c r="B663" s="238" t="s">
        <v>108</v>
      </c>
      <c r="C663" s="238" t="s">
        <v>82</v>
      </c>
      <c r="D663" s="238" t="s">
        <v>235</v>
      </c>
      <c r="E663" s="238" t="s">
        <v>366</v>
      </c>
      <c r="F663" s="243" t="str">
        <f t="shared" si="25"/>
        <v>2008-09 - Organic chemicals</v>
      </c>
      <c r="G663" s="244">
        <v>66</v>
      </c>
      <c r="H663" s="244"/>
      <c r="I663" s="244"/>
      <c r="J663" s="244"/>
      <c r="K663" s="244" t="s">
        <v>218</v>
      </c>
      <c r="L663" s="244"/>
      <c r="M663" s="244"/>
      <c r="N663" s="244"/>
      <c r="O663" s="244"/>
      <c r="P663" s="245"/>
    </row>
    <row r="664" spans="2:16" hidden="1">
      <c r="B664" s="238" t="s">
        <v>108</v>
      </c>
      <c r="C664" s="238" t="s">
        <v>82</v>
      </c>
      <c r="D664" s="238" t="s">
        <v>367</v>
      </c>
      <c r="E664" s="238" t="s">
        <v>368</v>
      </c>
      <c r="F664" s="243" t="str">
        <f t="shared" si="25"/>
        <v>2008-09 - Soil/sludge</v>
      </c>
      <c r="G664" s="244"/>
      <c r="H664" s="244">
        <v>22</v>
      </c>
      <c r="I664" s="244"/>
      <c r="J664" s="244">
        <v>346.98</v>
      </c>
      <c r="K664" s="244" t="s">
        <v>218</v>
      </c>
      <c r="L664" s="244">
        <v>1.21</v>
      </c>
      <c r="M664" s="244">
        <v>0.6</v>
      </c>
      <c r="N664" s="244"/>
      <c r="O664" s="244"/>
      <c r="P664" s="245"/>
    </row>
    <row r="665" spans="2:16" hidden="1">
      <c r="B665" s="238" t="s">
        <v>108</v>
      </c>
      <c r="C665" s="238" t="s">
        <v>82</v>
      </c>
      <c r="D665" s="238" t="s">
        <v>216</v>
      </c>
      <c r="E665" s="238" t="s">
        <v>369</v>
      </c>
      <c r="F665" s="243" t="str">
        <f t="shared" si="25"/>
        <v>2008-09 - Clinical &amp; pharmaceutical</v>
      </c>
      <c r="G665" s="244"/>
      <c r="H665" s="244"/>
      <c r="I665" s="244"/>
      <c r="J665" s="244"/>
      <c r="K665" s="244" t="s">
        <v>218</v>
      </c>
      <c r="L665" s="244">
        <v>4</v>
      </c>
      <c r="M665" s="244">
        <v>110.43</v>
      </c>
      <c r="N665" s="244"/>
      <c r="O665" s="244"/>
      <c r="P665" s="245"/>
    </row>
    <row r="666" spans="2:16" hidden="1">
      <c r="B666" s="238" t="s">
        <v>108</v>
      </c>
      <c r="C666" s="238" t="s">
        <v>82</v>
      </c>
      <c r="D666" s="238" t="s">
        <v>370</v>
      </c>
      <c r="E666" s="238" t="s">
        <v>371</v>
      </c>
      <c r="F666" s="243" t="str">
        <f t="shared" si="25"/>
        <v>2008-09 - Misc.</v>
      </c>
      <c r="G666" s="244"/>
      <c r="H666" s="244"/>
      <c r="I666" s="244"/>
      <c r="J666" s="244"/>
      <c r="K666" s="244" t="s">
        <v>218</v>
      </c>
      <c r="L666" s="244"/>
      <c r="M666" s="244">
        <v>95.55</v>
      </c>
      <c r="N666" s="244"/>
      <c r="O666" s="244"/>
      <c r="P666" s="245"/>
    </row>
    <row r="667" spans="2:16" hidden="1">
      <c r="B667" s="238" t="s">
        <v>108</v>
      </c>
      <c r="C667" s="238" t="s">
        <v>83</v>
      </c>
      <c r="D667" s="238" t="s">
        <v>157</v>
      </c>
      <c r="E667" s="238" t="s">
        <v>352</v>
      </c>
      <c r="F667" s="243" t="str">
        <f t="shared" si="25"/>
        <v>2007-08 - Plating &amp; heat treatment</v>
      </c>
      <c r="G667" s="244">
        <v>0.75</v>
      </c>
      <c r="H667" s="244">
        <v>11.56</v>
      </c>
      <c r="I667" s="244"/>
      <c r="J667" s="244"/>
      <c r="K667" s="244" t="s">
        <v>218</v>
      </c>
      <c r="L667" s="244"/>
      <c r="M667" s="244"/>
      <c r="N667" s="244">
        <v>0.44</v>
      </c>
      <c r="O667" s="244"/>
      <c r="P667" s="245"/>
    </row>
    <row r="668" spans="2:16" hidden="1">
      <c r="B668" s="238" t="s">
        <v>108</v>
      </c>
      <c r="C668" s="238" t="s">
        <v>83</v>
      </c>
      <c r="D668" s="238" t="s">
        <v>186</v>
      </c>
      <c r="E668" s="238" t="s">
        <v>353</v>
      </c>
      <c r="F668" s="243" t="str">
        <f t="shared" si="25"/>
        <v>2007-08 - Acids</v>
      </c>
      <c r="G668" s="244">
        <v>1.44</v>
      </c>
      <c r="H668" s="244"/>
      <c r="I668" s="244"/>
      <c r="J668" s="244"/>
      <c r="K668" s="244" t="s">
        <v>218</v>
      </c>
      <c r="L668" s="244"/>
      <c r="M668" s="244"/>
      <c r="N668" s="244">
        <v>11.43</v>
      </c>
      <c r="O668" s="244"/>
      <c r="P668" s="245"/>
    </row>
    <row r="669" spans="2:16" hidden="1">
      <c r="B669" s="238" t="s">
        <v>108</v>
      </c>
      <c r="C669" s="238" t="s">
        <v>83</v>
      </c>
      <c r="D669" s="238" t="s">
        <v>247</v>
      </c>
      <c r="E669" s="238" t="s">
        <v>354</v>
      </c>
      <c r="F669" s="243" t="str">
        <f t="shared" si="25"/>
        <v>2007-08 - Alkalis</v>
      </c>
      <c r="G669" s="244"/>
      <c r="H669" s="244"/>
      <c r="I669" s="244"/>
      <c r="J669" s="244"/>
      <c r="K669" s="244" t="s">
        <v>218</v>
      </c>
      <c r="L669" s="244"/>
      <c r="M669" s="244"/>
      <c r="N669" s="244">
        <v>38.1</v>
      </c>
      <c r="O669" s="244"/>
      <c r="P669" s="245"/>
    </row>
    <row r="670" spans="2:16">
      <c r="B670" s="238" t="s">
        <v>108</v>
      </c>
      <c r="C670" s="238" t="s">
        <v>83</v>
      </c>
      <c r="D670" s="238" t="s">
        <v>159</v>
      </c>
      <c r="E670" s="238" t="s">
        <v>355</v>
      </c>
      <c r="F670" s="243" t="str">
        <f t="shared" si="25"/>
        <v>2007-08 - Inorganic chemicals</v>
      </c>
      <c r="G670" s="244">
        <v>790.29</v>
      </c>
      <c r="H670" s="244">
        <v>2456.0500000000002</v>
      </c>
      <c r="I670" s="244"/>
      <c r="J670" s="244">
        <v>1235.9000000000001</v>
      </c>
      <c r="K670" s="244" t="s">
        <v>218</v>
      </c>
      <c r="L670" s="244">
        <v>2343.92</v>
      </c>
      <c r="M670" s="244"/>
      <c r="N670" s="244">
        <v>1.1499999999999999</v>
      </c>
      <c r="O670" s="244"/>
      <c r="P670" s="245"/>
    </row>
    <row r="671" spans="2:16" hidden="1">
      <c r="B671" s="238" t="s">
        <v>108</v>
      </c>
      <c r="C671" s="238" t="s">
        <v>83</v>
      </c>
      <c r="D671" s="238" t="s">
        <v>356</v>
      </c>
      <c r="E671" s="238" t="s">
        <v>357</v>
      </c>
      <c r="F671" s="243" t="str">
        <f t="shared" si="25"/>
        <v>2007-08 - Reactive chemicals</v>
      </c>
      <c r="G671" s="244"/>
      <c r="H671" s="244">
        <v>23.75</v>
      </c>
      <c r="I671" s="244"/>
      <c r="J671" s="244"/>
      <c r="K671" s="244" t="s">
        <v>218</v>
      </c>
      <c r="L671" s="244"/>
      <c r="M671" s="244"/>
      <c r="N671" s="244"/>
      <c r="O671" s="244"/>
      <c r="P671" s="245"/>
    </row>
    <row r="672" spans="2:16" hidden="1">
      <c r="B672" s="238" t="s">
        <v>108</v>
      </c>
      <c r="C672" s="238" t="s">
        <v>83</v>
      </c>
      <c r="D672" s="238" t="s">
        <v>161</v>
      </c>
      <c r="E672" s="238" t="s">
        <v>358</v>
      </c>
      <c r="F672" s="243" t="str">
        <f t="shared" si="25"/>
        <v>2007-08 - Paints, resins, inks organic sludges</v>
      </c>
      <c r="G672" s="244">
        <v>117.8</v>
      </c>
      <c r="H672" s="244">
        <v>44.85</v>
      </c>
      <c r="I672" s="244"/>
      <c r="J672" s="244"/>
      <c r="K672" s="244" t="s">
        <v>218</v>
      </c>
      <c r="L672" s="244"/>
      <c r="M672" s="244"/>
      <c r="N672" s="244">
        <v>1.44</v>
      </c>
      <c r="O672" s="244"/>
      <c r="P672" s="245"/>
    </row>
    <row r="673" spans="2:16" hidden="1">
      <c r="B673" s="238" t="s">
        <v>108</v>
      </c>
      <c r="C673" s="238" t="s">
        <v>83</v>
      </c>
      <c r="D673" s="238" t="s">
        <v>219</v>
      </c>
      <c r="E673" s="238" t="s">
        <v>359</v>
      </c>
      <c r="F673" s="243" t="str">
        <f t="shared" si="25"/>
        <v>2007-08 - Organic solvents</v>
      </c>
      <c r="G673" s="244">
        <v>38.4</v>
      </c>
      <c r="H673" s="244">
        <v>231.38</v>
      </c>
      <c r="I673" s="244">
        <v>8.8800000000000008</v>
      </c>
      <c r="J673" s="244">
        <v>98.59</v>
      </c>
      <c r="K673" s="244" t="s">
        <v>218</v>
      </c>
      <c r="L673" s="244"/>
      <c r="M673" s="244"/>
      <c r="N673" s="244">
        <v>3.03</v>
      </c>
      <c r="O673" s="244"/>
      <c r="P673" s="245"/>
    </row>
    <row r="674" spans="2:16" hidden="1">
      <c r="B674" s="238" t="s">
        <v>108</v>
      </c>
      <c r="C674" s="238" t="s">
        <v>83</v>
      </c>
      <c r="D674" s="238" t="s">
        <v>228</v>
      </c>
      <c r="E674" s="238" t="s">
        <v>360</v>
      </c>
      <c r="F674" s="243" t="str">
        <f t="shared" si="25"/>
        <v>2007-08 - Pesticides</v>
      </c>
      <c r="G674" s="244"/>
      <c r="H674" s="244"/>
      <c r="I674" s="244"/>
      <c r="J674" s="244"/>
      <c r="K674" s="244" t="s">
        <v>218</v>
      </c>
      <c r="L674" s="244"/>
      <c r="M674" s="244"/>
      <c r="N674" s="244">
        <v>12.87</v>
      </c>
      <c r="O674" s="244"/>
      <c r="P674" s="245"/>
    </row>
    <row r="675" spans="2:16" hidden="1">
      <c r="B675" s="238" t="s">
        <v>108</v>
      </c>
      <c r="C675" s="238" t="s">
        <v>83</v>
      </c>
      <c r="D675" s="238" t="s">
        <v>231</v>
      </c>
      <c r="E675" s="238" t="s">
        <v>361</v>
      </c>
      <c r="F675" s="243" t="str">
        <f t="shared" si="25"/>
        <v>2007-08 - Oils</v>
      </c>
      <c r="G675" s="244">
        <v>39.4</v>
      </c>
      <c r="H675" s="244">
        <v>415.89</v>
      </c>
      <c r="I675" s="244">
        <v>715.43</v>
      </c>
      <c r="J675" s="244"/>
      <c r="K675" s="244" t="s">
        <v>218</v>
      </c>
      <c r="L675" s="244"/>
      <c r="M675" s="244"/>
      <c r="N675" s="244">
        <v>2483.6</v>
      </c>
      <c r="O675" s="244"/>
      <c r="P675" s="245"/>
    </row>
    <row r="676" spans="2:16" hidden="1">
      <c r="B676" s="238" t="s">
        <v>108</v>
      </c>
      <c r="C676" s="238" t="s">
        <v>83</v>
      </c>
      <c r="D676" s="238" t="s">
        <v>362</v>
      </c>
      <c r="E676" s="238" t="s">
        <v>363</v>
      </c>
      <c r="F676" s="243" t="str">
        <f t="shared" si="25"/>
        <v>2007-08 - Putrescible/organic waste</v>
      </c>
      <c r="G676" s="244"/>
      <c r="H676" s="244"/>
      <c r="I676" s="244"/>
      <c r="J676" s="244"/>
      <c r="K676" s="244" t="s">
        <v>218</v>
      </c>
      <c r="L676" s="244"/>
      <c r="M676" s="244"/>
      <c r="N676" s="244"/>
      <c r="O676" s="244"/>
      <c r="P676" s="245"/>
    </row>
    <row r="677" spans="2:16" hidden="1">
      <c r="B677" s="238" t="s">
        <v>108</v>
      </c>
      <c r="C677" s="238" t="s">
        <v>83</v>
      </c>
      <c r="D677" s="238" t="s">
        <v>364</v>
      </c>
      <c r="E677" s="238" t="s">
        <v>365</v>
      </c>
      <c r="F677" s="243" t="str">
        <f t="shared" si="25"/>
        <v>2007-08 - Industrial washwater</v>
      </c>
      <c r="G677" s="244"/>
      <c r="H677" s="244"/>
      <c r="I677" s="244"/>
      <c r="J677" s="244"/>
      <c r="K677" s="244" t="s">
        <v>218</v>
      </c>
      <c r="L677" s="244"/>
      <c r="M677" s="244"/>
      <c r="N677" s="244"/>
      <c r="O677" s="244"/>
      <c r="P677" s="245"/>
    </row>
    <row r="678" spans="2:16" hidden="1">
      <c r="B678" s="238" t="s">
        <v>108</v>
      </c>
      <c r="C678" s="238" t="s">
        <v>83</v>
      </c>
      <c r="D678" s="238" t="s">
        <v>235</v>
      </c>
      <c r="E678" s="238" t="s">
        <v>366</v>
      </c>
      <c r="F678" s="243" t="str">
        <f t="shared" si="25"/>
        <v>2007-08 - Organic chemicals</v>
      </c>
      <c r="G678" s="244"/>
      <c r="H678" s="244"/>
      <c r="I678" s="244"/>
      <c r="J678" s="244"/>
      <c r="K678" s="244" t="s">
        <v>218</v>
      </c>
      <c r="L678" s="244"/>
      <c r="M678" s="244"/>
      <c r="N678" s="244">
        <v>2.5</v>
      </c>
      <c r="O678" s="244"/>
      <c r="P678" s="245"/>
    </row>
    <row r="679" spans="2:16" hidden="1">
      <c r="B679" s="238" t="s">
        <v>108</v>
      </c>
      <c r="C679" s="238" t="s">
        <v>83</v>
      </c>
      <c r="D679" s="238" t="s">
        <v>367</v>
      </c>
      <c r="E679" s="238" t="s">
        <v>368</v>
      </c>
      <c r="F679" s="243" t="str">
        <f t="shared" si="25"/>
        <v>2007-08 - Soil/sludge</v>
      </c>
      <c r="G679" s="244"/>
      <c r="H679" s="244"/>
      <c r="I679" s="244"/>
      <c r="J679" s="244">
        <v>345.01</v>
      </c>
      <c r="K679" s="244" t="s">
        <v>218</v>
      </c>
      <c r="L679" s="244"/>
      <c r="M679" s="244"/>
      <c r="N679" s="244">
        <v>0.25</v>
      </c>
      <c r="O679" s="244"/>
      <c r="P679" s="245"/>
    </row>
    <row r="680" spans="2:16" hidden="1">
      <c r="B680" s="238" t="s">
        <v>108</v>
      </c>
      <c r="C680" s="238" t="s">
        <v>83</v>
      </c>
      <c r="D680" s="238" t="s">
        <v>216</v>
      </c>
      <c r="E680" s="238" t="s">
        <v>369</v>
      </c>
      <c r="F680" s="243" t="str">
        <f t="shared" si="25"/>
        <v>2007-08 - Clinical &amp; pharmaceutical</v>
      </c>
      <c r="G680" s="244"/>
      <c r="H680" s="244"/>
      <c r="I680" s="244"/>
      <c r="J680" s="244"/>
      <c r="K680" s="244" t="s">
        <v>218</v>
      </c>
      <c r="L680" s="244">
        <v>2</v>
      </c>
      <c r="M680" s="244"/>
      <c r="N680" s="244">
        <v>73.239999999999995</v>
      </c>
      <c r="O680" s="244"/>
      <c r="P680" s="245"/>
    </row>
    <row r="681" spans="2:16" hidden="1">
      <c r="B681" s="238" t="s">
        <v>108</v>
      </c>
      <c r="C681" s="238" t="s">
        <v>83</v>
      </c>
      <c r="D681" s="238" t="s">
        <v>370</v>
      </c>
      <c r="E681" s="238" t="s">
        <v>371</v>
      </c>
      <c r="F681" s="243" t="str">
        <f t="shared" si="25"/>
        <v>2007-08 - Misc.</v>
      </c>
      <c r="G681" s="244"/>
      <c r="H681" s="244"/>
      <c r="I681" s="244"/>
      <c r="J681" s="244"/>
      <c r="K681" s="244" t="s">
        <v>218</v>
      </c>
      <c r="L681" s="244"/>
      <c r="M681" s="244"/>
      <c r="N681" s="244">
        <v>75.62</v>
      </c>
      <c r="O681" s="244"/>
      <c r="P681" s="245"/>
    </row>
    <row r="682" spans="2:16" hidden="1">
      <c r="B682" s="238" t="s">
        <v>108</v>
      </c>
      <c r="C682" s="238" t="s">
        <v>86</v>
      </c>
      <c r="D682" s="238" t="s">
        <v>157</v>
      </c>
      <c r="E682" s="238" t="s">
        <v>352</v>
      </c>
      <c r="F682" s="243" t="str">
        <f t="shared" si="25"/>
        <v>2006-07 - Plating &amp; heat treatment</v>
      </c>
      <c r="G682" s="244">
        <v>18.84</v>
      </c>
      <c r="H682" s="244">
        <v>4.83</v>
      </c>
      <c r="I682" s="244"/>
      <c r="J682" s="244"/>
      <c r="K682" s="244" t="s">
        <v>218</v>
      </c>
      <c r="L682" s="244"/>
      <c r="M682" s="244"/>
      <c r="N682" s="244"/>
      <c r="O682" s="244"/>
      <c r="P682" s="245"/>
    </row>
    <row r="683" spans="2:16" hidden="1">
      <c r="B683" s="238" t="s">
        <v>108</v>
      </c>
      <c r="C683" s="238" t="s">
        <v>86</v>
      </c>
      <c r="D683" s="238" t="s">
        <v>186</v>
      </c>
      <c r="E683" s="238" t="s">
        <v>353</v>
      </c>
      <c r="F683" s="243" t="str">
        <f t="shared" si="25"/>
        <v>2006-07 - Acids</v>
      </c>
      <c r="G683" s="244"/>
      <c r="H683" s="244"/>
      <c r="I683" s="244"/>
      <c r="J683" s="244">
        <v>5.6</v>
      </c>
      <c r="K683" s="244" t="s">
        <v>218</v>
      </c>
      <c r="L683" s="244"/>
      <c r="M683" s="244"/>
      <c r="N683" s="244">
        <v>1.84</v>
      </c>
      <c r="O683" s="244"/>
      <c r="P683" s="245"/>
    </row>
    <row r="684" spans="2:16" hidden="1">
      <c r="B684" s="238" t="s">
        <v>108</v>
      </c>
      <c r="C684" s="238" t="s">
        <v>86</v>
      </c>
      <c r="D684" s="238" t="s">
        <v>247</v>
      </c>
      <c r="E684" s="238" t="s">
        <v>354</v>
      </c>
      <c r="F684" s="243" t="str">
        <f t="shared" ref="F684:F747" si="26">CONCATENATE(C684," - ",E684)</f>
        <v>2006-07 - Alkalis</v>
      </c>
      <c r="G684" s="244"/>
      <c r="H684" s="244"/>
      <c r="I684" s="244"/>
      <c r="J684" s="244">
        <v>6</v>
      </c>
      <c r="K684" s="244" t="s">
        <v>218</v>
      </c>
      <c r="L684" s="244"/>
      <c r="M684" s="244"/>
      <c r="N684" s="244">
        <v>3.87</v>
      </c>
      <c r="O684" s="244"/>
      <c r="P684" s="245"/>
    </row>
    <row r="685" spans="2:16">
      <c r="B685" s="238" t="s">
        <v>108</v>
      </c>
      <c r="C685" s="238" t="s">
        <v>86</v>
      </c>
      <c r="D685" s="238" t="s">
        <v>159</v>
      </c>
      <c r="E685" s="238" t="s">
        <v>355</v>
      </c>
      <c r="F685" s="243" t="str">
        <f t="shared" si="26"/>
        <v>2006-07 - Inorganic chemicals</v>
      </c>
      <c r="G685" s="244">
        <v>1453.49</v>
      </c>
      <c r="H685" s="244">
        <v>2497.62</v>
      </c>
      <c r="I685" s="244"/>
      <c r="J685" s="244">
        <v>79.959999999999994</v>
      </c>
      <c r="K685" s="244" t="s">
        <v>218</v>
      </c>
      <c r="L685" s="244">
        <v>989.28</v>
      </c>
      <c r="M685" s="244"/>
      <c r="N685" s="244">
        <v>1.87</v>
      </c>
      <c r="O685" s="244"/>
      <c r="P685" s="245"/>
    </row>
    <row r="686" spans="2:16" hidden="1">
      <c r="B686" s="238" t="s">
        <v>108</v>
      </c>
      <c r="C686" s="238" t="s">
        <v>86</v>
      </c>
      <c r="D686" s="238" t="s">
        <v>356</v>
      </c>
      <c r="E686" s="238" t="s">
        <v>357</v>
      </c>
      <c r="F686" s="243" t="str">
        <f t="shared" si="26"/>
        <v>2006-07 - Reactive chemicals</v>
      </c>
      <c r="G686" s="244"/>
      <c r="H686" s="244">
        <v>16.11</v>
      </c>
      <c r="I686" s="244"/>
      <c r="J686" s="244"/>
      <c r="K686" s="244" t="s">
        <v>218</v>
      </c>
      <c r="L686" s="244"/>
      <c r="M686" s="244"/>
      <c r="N686" s="244"/>
      <c r="O686" s="244"/>
      <c r="P686" s="245"/>
    </row>
    <row r="687" spans="2:16" hidden="1">
      <c r="B687" s="238" t="s">
        <v>108</v>
      </c>
      <c r="C687" s="238" t="s">
        <v>86</v>
      </c>
      <c r="D687" s="238" t="s">
        <v>161</v>
      </c>
      <c r="E687" s="238" t="s">
        <v>358</v>
      </c>
      <c r="F687" s="243" t="str">
        <f t="shared" si="26"/>
        <v>2006-07 - Paints, resins, inks organic sludges</v>
      </c>
      <c r="G687" s="244">
        <v>18</v>
      </c>
      <c r="H687" s="244"/>
      <c r="I687" s="244"/>
      <c r="J687" s="244"/>
      <c r="K687" s="244" t="s">
        <v>218</v>
      </c>
      <c r="L687" s="244"/>
      <c r="M687" s="244"/>
      <c r="N687" s="244">
        <v>1.41</v>
      </c>
      <c r="O687" s="244"/>
      <c r="P687" s="245"/>
    </row>
    <row r="688" spans="2:16" hidden="1">
      <c r="B688" s="238" t="s">
        <v>108</v>
      </c>
      <c r="C688" s="238" t="s">
        <v>86</v>
      </c>
      <c r="D688" s="238" t="s">
        <v>219</v>
      </c>
      <c r="E688" s="238" t="s">
        <v>359</v>
      </c>
      <c r="F688" s="243" t="str">
        <f t="shared" si="26"/>
        <v>2006-07 - Organic solvents</v>
      </c>
      <c r="G688" s="244">
        <v>2.66</v>
      </c>
      <c r="H688" s="244">
        <v>86.4</v>
      </c>
      <c r="I688" s="244">
        <v>2.4</v>
      </c>
      <c r="J688" s="244">
        <v>39.270000000000003</v>
      </c>
      <c r="K688" s="244" t="s">
        <v>218</v>
      </c>
      <c r="L688" s="244"/>
      <c r="M688" s="244"/>
      <c r="N688" s="244">
        <v>1.6</v>
      </c>
      <c r="O688" s="244"/>
      <c r="P688" s="245"/>
    </row>
    <row r="689" spans="2:16" hidden="1">
      <c r="B689" s="238" t="s">
        <v>108</v>
      </c>
      <c r="C689" s="238" t="s">
        <v>86</v>
      </c>
      <c r="D689" s="238" t="s">
        <v>228</v>
      </c>
      <c r="E689" s="238" t="s">
        <v>360</v>
      </c>
      <c r="F689" s="243" t="str">
        <f t="shared" si="26"/>
        <v>2006-07 - Pesticides</v>
      </c>
      <c r="G689" s="244"/>
      <c r="H689" s="244"/>
      <c r="I689" s="244"/>
      <c r="J689" s="244">
        <v>0.48</v>
      </c>
      <c r="K689" s="244" t="s">
        <v>218</v>
      </c>
      <c r="L689" s="244"/>
      <c r="M689" s="244"/>
      <c r="N689" s="244"/>
      <c r="O689" s="244"/>
      <c r="P689" s="245"/>
    </row>
    <row r="690" spans="2:16" hidden="1">
      <c r="B690" s="238" t="s">
        <v>108</v>
      </c>
      <c r="C690" s="238" t="s">
        <v>86</v>
      </c>
      <c r="D690" s="238" t="s">
        <v>231</v>
      </c>
      <c r="E690" s="238" t="s">
        <v>361</v>
      </c>
      <c r="F690" s="243" t="str">
        <f t="shared" si="26"/>
        <v>2006-07 - Oils</v>
      </c>
      <c r="G690" s="244"/>
      <c r="H690" s="244">
        <v>133.69999999999999</v>
      </c>
      <c r="I690" s="244"/>
      <c r="J690" s="244"/>
      <c r="K690" s="244" t="s">
        <v>218</v>
      </c>
      <c r="L690" s="244"/>
      <c r="M690" s="244"/>
      <c r="N690" s="244">
        <v>134.38999999999999</v>
      </c>
      <c r="O690" s="244"/>
      <c r="P690" s="245"/>
    </row>
    <row r="691" spans="2:16" hidden="1">
      <c r="B691" s="238" t="s">
        <v>108</v>
      </c>
      <c r="C691" s="238" t="s">
        <v>86</v>
      </c>
      <c r="D691" s="238" t="s">
        <v>362</v>
      </c>
      <c r="E691" s="238" t="s">
        <v>363</v>
      </c>
      <c r="F691" s="243" t="str">
        <f t="shared" si="26"/>
        <v>2006-07 - Putrescible/organic waste</v>
      </c>
      <c r="G691" s="244"/>
      <c r="H691" s="244"/>
      <c r="I691" s="244"/>
      <c r="J691" s="244"/>
      <c r="K691" s="244" t="s">
        <v>218</v>
      </c>
      <c r="L691" s="244"/>
      <c r="M691" s="244"/>
      <c r="N691" s="244"/>
      <c r="O691" s="244"/>
      <c r="P691" s="245"/>
    </row>
    <row r="692" spans="2:16" hidden="1">
      <c r="B692" s="238" t="s">
        <v>108</v>
      </c>
      <c r="C692" s="238" t="s">
        <v>86</v>
      </c>
      <c r="D692" s="238" t="s">
        <v>364</v>
      </c>
      <c r="E692" s="238" t="s">
        <v>365</v>
      </c>
      <c r="F692" s="243" t="str">
        <f t="shared" si="26"/>
        <v>2006-07 - Industrial washwater</v>
      </c>
      <c r="G692" s="244"/>
      <c r="H692" s="244"/>
      <c r="I692" s="244"/>
      <c r="J692" s="244"/>
      <c r="K692" s="244" t="s">
        <v>218</v>
      </c>
      <c r="L692" s="244"/>
      <c r="M692" s="244"/>
      <c r="N692" s="244"/>
      <c r="O692" s="244"/>
      <c r="P692" s="245"/>
    </row>
    <row r="693" spans="2:16" hidden="1">
      <c r="B693" s="238" t="s">
        <v>108</v>
      </c>
      <c r="C693" s="238" t="s">
        <v>86</v>
      </c>
      <c r="D693" s="238" t="s">
        <v>235</v>
      </c>
      <c r="E693" s="238" t="s">
        <v>366</v>
      </c>
      <c r="F693" s="243" t="str">
        <f t="shared" si="26"/>
        <v>2006-07 - Organic chemicals</v>
      </c>
      <c r="G693" s="244">
        <v>11</v>
      </c>
      <c r="H693" s="244"/>
      <c r="I693" s="244"/>
      <c r="J693" s="244"/>
      <c r="K693" s="244" t="s">
        <v>218</v>
      </c>
      <c r="L693" s="244"/>
      <c r="M693" s="244"/>
      <c r="N693" s="244">
        <v>1.22</v>
      </c>
      <c r="O693" s="244"/>
      <c r="P693" s="245"/>
    </row>
    <row r="694" spans="2:16" hidden="1">
      <c r="B694" s="238" t="s">
        <v>108</v>
      </c>
      <c r="C694" s="238" t="s">
        <v>86</v>
      </c>
      <c r="D694" s="238" t="s">
        <v>367</v>
      </c>
      <c r="E694" s="238" t="s">
        <v>368</v>
      </c>
      <c r="F694" s="243" t="str">
        <f t="shared" si="26"/>
        <v>2006-07 - Soil/sludge</v>
      </c>
      <c r="G694" s="244">
        <v>0.01</v>
      </c>
      <c r="H694" s="244"/>
      <c r="I694" s="244"/>
      <c r="J694" s="244">
        <v>127.29</v>
      </c>
      <c r="K694" s="244" t="s">
        <v>218</v>
      </c>
      <c r="L694" s="244"/>
      <c r="M694" s="244"/>
      <c r="N694" s="244">
        <v>7.45</v>
      </c>
      <c r="O694" s="244"/>
      <c r="P694" s="245"/>
    </row>
    <row r="695" spans="2:16" hidden="1">
      <c r="B695" s="238" t="s">
        <v>108</v>
      </c>
      <c r="C695" s="238" t="s">
        <v>86</v>
      </c>
      <c r="D695" s="238" t="s">
        <v>216</v>
      </c>
      <c r="E695" s="238" t="s">
        <v>369</v>
      </c>
      <c r="F695" s="243" t="str">
        <f t="shared" si="26"/>
        <v>2006-07 - Clinical &amp; pharmaceutical</v>
      </c>
      <c r="G695" s="244"/>
      <c r="H695" s="244"/>
      <c r="I695" s="244"/>
      <c r="J695" s="244"/>
      <c r="K695" s="244" t="s">
        <v>218</v>
      </c>
      <c r="L695" s="244">
        <v>4</v>
      </c>
      <c r="M695" s="244"/>
      <c r="N695" s="244">
        <v>80.430000000000007</v>
      </c>
      <c r="O695" s="244"/>
      <c r="P695" s="245"/>
    </row>
    <row r="696" spans="2:16" hidden="1">
      <c r="B696" s="238" t="s">
        <v>108</v>
      </c>
      <c r="C696" s="238" t="s">
        <v>86</v>
      </c>
      <c r="D696" s="238" t="s">
        <v>370</v>
      </c>
      <c r="E696" s="238" t="s">
        <v>371</v>
      </c>
      <c r="F696" s="243" t="str">
        <f t="shared" si="26"/>
        <v>2006-07 - Misc.</v>
      </c>
      <c r="G696" s="244"/>
      <c r="H696" s="244"/>
      <c r="I696" s="244"/>
      <c r="J696" s="244">
        <v>10.54</v>
      </c>
      <c r="K696" s="244" t="s">
        <v>218</v>
      </c>
      <c r="L696" s="244"/>
      <c r="M696" s="244"/>
      <c r="N696" s="244">
        <v>47.93</v>
      </c>
      <c r="O696" s="244"/>
      <c r="P696" s="245"/>
    </row>
    <row r="697" spans="2:16" hidden="1">
      <c r="B697" s="238" t="s">
        <v>122</v>
      </c>
      <c r="C697" s="238" t="s">
        <v>78</v>
      </c>
      <c r="D697" s="238" t="s">
        <v>157</v>
      </c>
      <c r="E697" s="238" t="s">
        <v>352</v>
      </c>
      <c r="F697" s="243" t="str">
        <f t="shared" si="26"/>
        <v>2012-13 - Plating &amp; heat treatment</v>
      </c>
      <c r="G697" s="244">
        <v>0</v>
      </c>
      <c r="H697" s="244">
        <v>0</v>
      </c>
      <c r="I697" s="244">
        <v>0</v>
      </c>
      <c r="J697" s="244">
        <v>0</v>
      </c>
      <c r="K697" s="244">
        <v>0</v>
      </c>
      <c r="L697" s="244" t="s">
        <v>218</v>
      </c>
      <c r="M697" s="244">
        <v>0</v>
      </c>
      <c r="N697" s="244">
        <v>0</v>
      </c>
      <c r="O697" s="244">
        <v>0</v>
      </c>
      <c r="P697" s="245"/>
    </row>
    <row r="698" spans="2:16" hidden="1">
      <c r="B698" s="238" t="s">
        <v>122</v>
      </c>
      <c r="C698" s="238" t="s">
        <v>78</v>
      </c>
      <c r="D698" s="238" t="s">
        <v>186</v>
      </c>
      <c r="E698" s="238" t="s">
        <v>353</v>
      </c>
      <c r="F698" s="243" t="str">
        <f t="shared" si="26"/>
        <v>2012-13 - Acids</v>
      </c>
      <c r="G698" s="244">
        <v>0</v>
      </c>
      <c r="H698" s="244">
        <v>0</v>
      </c>
      <c r="I698" s="244">
        <v>0</v>
      </c>
      <c r="J698" s="244">
        <v>0</v>
      </c>
      <c r="K698" s="244">
        <v>10</v>
      </c>
      <c r="L698" s="244" t="s">
        <v>218</v>
      </c>
      <c r="M698" s="244">
        <v>0</v>
      </c>
      <c r="N698" s="244">
        <v>0</v>
      </c>
      <c r="O698" s="244">
        <v>6</v>
      </c>
      <c r="P698" s="245"/>
    </row>
    <row r="699" spans="2:16" hidden="1">
      <c r="B699" s="238" t="s">
        <v>122</v>
      </c>
      <c r="C699" s="238" t="s">
        <v>78</v>
      </c>
      <c r="D699" s="238" t="s">
        <v>247</v>
      </c>
      <c r="E699" s="238" t="s">
        <v>354</v>
      </c>
      <c r="F699" s="243" t="str">
        <f t="shared" si="26"/>
        <v>2012-13 - Alkalis</v>
      </c>
      <c r="G699" s="244">
        <v>0</v>
      </c>
      <c r="H699" s="244">
        <v>0</v>
      </c>
      <c r="I699" s="244">
        <v>0</v>
      </c>
      <c r="J699" s="244">
        <v>0</v>
      </c>
      <c r="K699" s="244">
        <v>0</v>
      </c>
      <c r="L699" s="244" t="s">
        <v>218</v>
      </c>
      <c r="M699" s="244">
        <v>0</v>
      </c>
      <c r="N699" s="244">
        <v>0</v>
      </c>
      <c r="O699" s="244">
        <v>0.2</v>
      </c>
      <c r="P699" s="245"/>
    </row>
    <row r="700" spans="2:16">
      <c r="B700" s="238" t="s">
        <v>122</v>
      </c>
      <c r="C700" s="238" t="s">
        <v>78</v>
      </c>
      <c r="D700" s="238" t="s">
        <v>159</v>
      </c>
      <c r="E700" s="238" t="s">
        <v>355</v>
      </c>
      <c r="F700" s="243" t="str">
        <f t="shared" si="26"/>
        <v>2012-13 - Inorganic chemicals</v>
      </c>
      <c r="G700" s="244">
        <v>0</v>
      </c>
      <c r="H700" s="244">
        <v>0</v>
      </c>
      <c r="I700" s="244">
        <v>0</v>
      </c>
      <c r="J700" s="244">
        <v>0</v>
      </c>
      <c r="K700" s="244">
        <v>0</v>
      </c>
      <c r="L700" s="244" t="s">
        <v>218</v>
      </c>
      <c r="M700" s="244">
        <v>0</v>
      </c>
      <c r="N700" s="244">
        <v>0</v>
      </c>
      <c r="O700" s="244">
        <v>1.22</v>
      </c>
      <c r="P700" s="245"/>
    </row>
    <row r="701" spans="2:16" hidden="1">
      <c r="B701" s="238" t="s">
        <v>122</v>
      </c>
      <c r="C701" s="238" t="s">
        <v>78</v>
      </c>
      <c r="D701" s="238" t="s">
        <v>356</v>
      </c>
      <c r="E701" s="238" t="s">
        <v>357</v>
      </c>
      <c r="F701" s="243" t="str">
        <f t="shared" si="26"/>
        <v>2012-13 - Reactive chemicals</v>
      </c>
      <c r="G701" s="244">
        <v>0</v>
      </c>
      <c r="H701" s="244">
        <v>0</v>
      </c>
      <c r="I701" s="244">
        <v>0</v>
      </c>
      <c r="J701" s="244">
        <v>0</v>
      </c>
      <c r="K701" s="244">
        <v>0</v>
      </c>
      <c r="L701" s="244" t="s">
        <v>218</v>
      </c>
      <c r="M701" s="244">
        <v>0</v>
      </c>
      <c r="N701" s="244">
        <v>0</v>
      </c>
      <c r="O701" s="244">
        <v>0.02</v>
      </c>
      <c r="P701" s="245"/>
    </row>
    <row r="702" spans="2:16" hidden="1">
      <c r="B702" s="238" t="s">
        <v>122</v>
      </c>
      <c r="C702" s="238" t="s">
        <v>78</v>
      </c>
      <c r="D702" s="238" t="s">
        <v>161</v>
      </c>
      <c r="E702" s="238" t="s">
        <v>358</v>
      </c>
      <c r="F702" s="243" t="str">
        <f t="shared" si="26"/>
        <v>2012-13 - Paints, resins, inks organic sludges</v>
      </c>
      <c r="G702" s="244">
        <v>0</v>
      </c>
      <c r="H702" s="244">
        <v>0</v>
      </c>
      <c r="I702" s="244">
        <v>0</v>
      </c>
      <c r="J702" s="244">
        <v>0</v>
      </c>
      <c r="K702" s="244">
        <v>0</v>
      </c>
      <c r="L702" s="244" t="s">
        <v>218</v>
      </c>
      <c r="M702" s="244">
        <v>0</v>
      </c>
      <c r="N702" s="244">
        <v>0</v>
      </c>
      <c r="O702" s="244">
        <v>2</v>
      </c>
      <c r="P702" s="245"/>
    </row>
    <row r="703" spans="2:16" hidden="1">
      <c r="B703" s="238" t="s">
        <v>122</v>
      </c>
      <c r="C703" s="238" t="s">
        <v>78</v>
      </c>
      <c r="D703" s="238" t="s">
        <v>219</v>
      </c>
      <c r="E703" s="238" t="s">
        <v>359</v>
      </c>
      <c r="F703" s="243" t="str">
        <f t="shared" si="26"/>
        <v>2012-13 - Organic solvents</v>
      </c>
      <c r="G703" s="244">
        <v>0</v>
      </c>
      <c r="H703" s="244">
        <v>0</v>
      </c>
      <c r="I703" s="244">
        <v>0</v>
      </c>
      <c r="J703" s="244">
        <v>0</v>
      </c>
      <c r="K703" s="244">
        <v>0</v>
      </c>
      <c r="L703" s="244" t="s">
        <v>218</v>
      </c>
      <c r="M703" s="244">
        <v>0</v>
      </c>
      <c r="N703" s="244">
        <v>0</v>
      </c>
      <c r="O703" s="244">
        <v>30</v>
      </c>
      <c r="P703" s="245"/>
    </row>
    <row r="704" spans="2:16" hidden="1">
      <c r="B704" s="238" t="s">
        <v>122</v>
      </c>
      <c r="C704" s="238" t="s">
        <v>78</v>
      </c>
      <c r="D704" s="238" t="s">
        <v>228</v>
      </c>
      <c r="E704" s="238" t="s">
        <v>360</v>
      </c>
      <c r="F704" s="243" t="str">
        <f t="shared" si="26"/>
        <v>2012-13 - Pesticides</v>
      </c>
      <c r="G704" s="244">
        <v>0</v>
      </c>
      <c r="H704" s="244">
        <v>0</v>
      </c>
      <c r="I704" s="244">
        <v>0</v>
      </c>
      <c r="J704" s="244">
        <v>0</v>
      </c>
      <c r="K704" s="244">
        <v>0</v>
      </c>
      <c r="L704" s="244" t="s">
        <v>218</v>
      </c>
      <c r="M704" s="244">
        <v>0</v>
      </c>
      <c r="N704" s="244">
        <v>0</v>
      </c>
      <c r="O704" s="244">
        <v>0</v>
      </c>
      <c r="P704" s="245"/>
    </row>
    <row r="705" spans="2:16" hidden="1">
      <c r="B705" s="238" t="s">
        <v>122</v>
      </c>
      <c r="C705" s="238" t="s">
        <v>78</v>
      </c>
      <c r="D705" s="238" t="s">
        <v>231</v>
      </c>
      <c r="E705" s="238" t="s">
        <v>361</v>
      </c>
      <c r="F705" s="243" t="str">
        <f t="shared" si="26"/>
        <v>2012-13 - Oils</v>
      </c>
      <c r="G705" s="244">
        <v>0</v>
      </c>
      <c r="H705" s="244">
        <v>0</v>
      </c>
      <c r="I705" s="244">
        <v>0</v>
      </c>
      <c r="J705" s="244">
        <v>0</v>
      </c>
      <c r="K705" s="244">
        <v>0</v>
      </c>
      <c r="L705" s="244" t="s">
        <v>218</v>
      </c>
      <c r="M705" s="244">
        <v>0</v>
      </c>
      <c r="N705" s="244">
        <v>0</v>
      </c>
      <c r="O705" s="244">
        <v>65</v>
      </c>
      <c r="P705" s="245"/>
    </row>
    <row r="706" spans="2:16" hidden="1">
      <c r="B706" s="238" t="s">
        <v>122</v>
      </c>
      <c r="C706" s="238" t="s">
        <v>78</v>
      </c>
      <c r="D706" s="238" t="s">
        <v>362</v>
      </c>
      <c r="E706" s="238" t="s">
        <v>363</v>
      </c>
      <c r="F706" s="243" t="str">
        <f t="shared" si="26"/>
        <v>2012-13 - Putrescible/organic waste</v>
      </c>
      <c r="G706" s="244">
        <v>0</v>
      </c>
      <c r="H706" s="244">
        <v>0</v>
      </c>
      <c r="I706" s="244">
        <v>0</v>
      </c>
      <c r="J706" s="244">
        <v>0</v>
      </c>
      <c r="K706" s="244">
        <v>0</v>
      </c>
      <c r="L706" s="244" t="s">
        <v>218</v>
      </c>
      <c r="M706" s="244">
        <v>0</v>
      </c>
      <c r="N706" s="244">
        <v>0</v>
      </c>
      <c r="O706" s="244">
        <v>92</v>
      </c>
      <c r="P706" s="245"/>
    </row>
    <row r="707" spans="2:16" hidden="1">
      <c r="B707" s="238" t="s">
        <v>122</v>
      </c>
      <c r="C707" s="238" t="s">
        <v>78</v>
      </c>
      <c r="D707" s="238" t="s">
        <v>364</v>
      </c>
      <c r="E707" s="238" t="s">
        <v>365</v>
      </c>
      <c r="F707" s="243" t="str">
        <f t="shared" si="26"/>
        <v>2012-13 - Industrial washwater</v>
      </c>
      <c r="G707" s="244">
        <v>0</v>
      </c>
      <c r="H707" s="244">
        <v>0</v>
      </c>
      <c r="I707" s="244">
        <v>0</v>
      </c>
      <c r="J707" s="244">
        <v>0</v>
      </c>
      <c r="K707" s="244">
        <v>0</v>
      </c>
      <c r="L707" s="244" t="s">
        <v>218</v>
      </c>
      <c r="M707" s="244">
        <v>0</v>
      </c>
      <c r="N707" s="244">
        <v>0</v>
      </c>
      <c r="O707" s="244">
        <v>0</v>
      </c>
      <c r="P707" s="245"/>
    </row>
    <row r="708" spans="2:16" hidden="1">
      <c r="B708" s="238" t="s">
        <v>122</v>
      </c>
      <c r="C708" s="238" t="s">
        <v>78</v>
      </c>
      <c r="D708" s="238" t="s">
        <v>235</v>
      </c>
      <c r="E708" s="238" t="s">
        <v>366</v>
      </c>
      <c r="F708" s="243" t="str">
        <f t="shared" si="26"/>
        <v>2012-13 - Organic chemicals</v>
      </c>
      <c r="G708" s="244">
        <v>0</v>
      </c>
      <c r="H708" s="244">
        <v>0</v>
      </c>
      <c r="I708" s="244">
        <v>0</v>
      </c>
      <c r="J708" s="244">
        <v>0</v>
      </c>
      <c r="K708" s="244">
        <v>0</v>
      </c>
      <c r="L708" s="244" t="s">
        <v>218</v>
      </c>
      <c r="M708" s="244">
        <v>0</v>
      </c>
      <c r="N708" s="244">
        <v>0</v>
      </c>
      <c r="O708" s="244">
        <v>0.15</v>
      </c>
      <c r="P708" s="245"/>
    </row>
    <row r="709" spans="2:16" hidden="1">
      <c r="B709" s="238" t="s">
        <v>122</v>
      </c>
      <c r="C709" s="238" t="s">
        <v>78</v>
      </c>
      <c r="D709" s="238" t="s">
        <v>367</v>
      </c>
      <c r="E709" s="238" t="s">
        <v>368</v>
      </c>
      <c r="F709" s="243" t="str">
        <f t="shared" si="26"/>
        <v>2012-13 - Soil/sludge</v>
      </c>
      <c r="G709" s="244">
        <v>0</v>
      </c>
      <c r="H709" s="244">
        <v>0</v>
      </c>
      <c r="I709" s="244">
        <v>0</v>
      </c>
      <c r="J709" s="244">
        <v>0</v>
      </c>
      <c r="K709" s="244">
        <v>0</v>
      </c>
      <c r="L709" s="244" t="s">
        <v>218</v>
      </c>
      <c r="M709" s="244">
        <v>0</v>
      </c>
      <c r="N709" s="244">
        <v>0</v>
      </c>
      <c r="O709" s="244">
        <v>37.5</v>
      </c>
      <c r="P709" s="245"/>
    </row>
    <row r="710" spans="2:16" hidden="1">
      <c r="B710" s="238" t="s">
        <v>122</v>
      </c>
      <c r="C710" s="238" t="s">
        <v>78</v>
      </c>
      <c r="D710" s="238" t="s">
        <v>216</v>
      </c>
      <c r="E710" s="238" t="s">
        <v>369</v>
      </c>
      <c r="F710" s="243" t="str">
        <f t="shared" si="26"/>
        <v>2012-13 - Clinical &amp; pharmaceutical</v>
      </c>
      <c r="G710" s="244">
        <v>0</v>
      </c>
      <c r="H710" s="244">
        <v>0</v>
      </c>
      <c r="I710" s="244">
        <v>0</v>
      </c>
      <c r="J710" s="244">
        <v>0</v>
      </c>
      <c r="K710" s="244">
        <v>0</v>
      </c>
      <c r="L710" s="244" t="s">
        <v>218</v>
      </c>
      <c r="M710" s="244">
        <v>0</v>
      </c>
      <c r="N710" s="244">
        <v>0</v>
      </c>
      <c r="O710" s="244">
        <v>0.6</v>
      </c>
      <c r="P710" s="245"/>
    </row>
    <row r="711" spans="2:16" hidden="1">
      <c r="B711" s="238" t="s">
        <v>122</v>
      </c>
      <c r="C711" s="238" t="s">
        <v>78</v>
      </c>
      <c r="D711" s="238" t="s">
        <v>370</v>
      </c>
      <c r="E711" s="238" t="s">
        <v>371</v>
      </c>
      <c r="F711" s="243" t="str">
        <f t="shared" si="26"/>
        <v>2012-13 - Misc.</v>
      </c>
      <c r="G711" s="244">
        <v>0</v>
      </c>
      <c r="H711" s="244">
        <v>0</v>
      </c>
      <c r="I711" s="244">
        <v>0</v>
      </c>
      <c r="J711" s="244">
        <v>0</v>
      </c>
      <c r="K711" s="244">
        <v>0</v>
      </c>
      <c r="L711" s="244" t="s">
        <v>218</v>
      </c>
      <c r="M711" s="244">
        <v>0</v>
      </c>
      <c r="N711" s="244">
        <v>0</v>
      </c>
      <c r="O711" s="244">
        <v>8</v>
      </c>
      <c r="P711" s="245"/>
    </row>
    <row r="712" spans="2:16" hidden="1">
      <c r="B712" s="238" t="s">
        <v>122</v>
      </c>
      <c r="C712" s="238" t="s">
        <v>79</v>
      </c>
      <c r="D712" s="238" t="s">
        <v>157</v>
      </c>
      <c r="E712" s="238" t="s">
        <v>352</v>
      </c>
      <c r="F712" s="243" t="str">
        <f t="shared" si="26"/>
        <v>2011-12 - Plating &amp; heat treatment</v>
      </c>
      <c r="G712" s="244"/>
      <c r="H712" s="244"/>
      <c r="I712" s="244"/>
      <c r="J712" s="244"/>
      <c r="K712" s="244"/>
      <c r="L712" s="244" t="s">
        <v>218</v>
      </c>
      <c r="M712" s="244"/>
      <c r="N712" s="244"/>
      <c r="O712" s="244"/>
      <c r="P712" s="245"/>
    </row>
    <row r="713" spans="2:16" hidden="1">
      <c r="B713" s="238" t="s">
        <v>122</v>
      </c>
      <c r="C713" s="238" t="s">
        <v>79</v>
      </c>
      <c r="D713" s="238" t="s">
        <v>186</v>
      </c>
      <c r="E713" s="238" t="s">
        <v>353</v>
      </c>
      <c r="F713" s="243" t="str">
        <f t="shared" si="26"/>
        <v>2011-12 - Acids</v>
      </c>
      <c r="G713" s="244"/>
      <c r="H713" s="244"/>
      <c r="I713" s="244"/>
      <c r="J713" s="244"/>
      <c r="K713" s="244">
        <v>18</v>
      </c>
      <c r="L713" s="244" t="s">
        <v>218</v>
      </c>
      <c r="M713" s="244"/>
      <c r="N713" s="244"/>
      <c r="O713" s="244"/>
      <c r="P713" s="245"/>
    </row>
    <row r="714" spans="2:16" hidden="1">
      <c r="B714" s="238" t="s">
        <v>122</v>
      </c>
      <c r="C714" s="238" t="s">
        <v>79</v>
      </c>
      <c r="D714" s="238" t="s">
        <v>247</v>
      </c>
      <c r="E714" s="238" t="s">
        <v>354</v>
      </c>
      <c r="F714" s="243" t="str">
        <f t="shared" si="26"/>
        <v>2011-12 - Alkalis</v>
      </c>
      <c r="G714" s="244"/>
      <c r="H714" s="244"/>
      <c r="I714" s="244"/>
      <c r="J714" s="244"/>
      <c r="K714" s="244"/>
      <c r="L714" s="244" t="s">
        <v>218</v>
      </c>
      <c r="M714" s="244"/>
      <c r="N714" s="244"/>
      <c r="O714" s="244"/>
      <c r="P714" s="245"/>
    </row>
    <row r="715" spans="2:16">
      <c r="B715" s="238" t="s">
        <v>122</v>
      </c>
      <c r="C715" s="238" t="s">
        <v>79</v>
      </c>
      <c r="D715" s="238" t="s">
        <v>159</v>
      </c>
      <c r="E715" s="238" t="s">
        <v>355</v>
      </c>
      <c r="F715" s="243" t="str">
        <f t="shared" si="26"/>
        <v>2011-12 - Inorganic chemicals</v>
      </c>
      <c r="G715" s="244"/>
      <c r="H715" s="244"/>
      <c r="I715" s="244"/>
      <c r="J715" s="244"/>
      <c r="K715" s="244"/>
      <c r="L715" s="244" t="s">
        <v>218</v>
      </c>
      <c r="M715" s="244"/>
      <c r="N715" s="244"/>
      <c r="O715" s="244">
        <v>1.2</v>
      </c>
      <c r="P715" s="245"/>
    </row>
    <row r="716" spans="2:16" hidden="1">
      <c r="B716" s="238" t="s">
        <v>122</v>
      </c>
      <c r="C716" s="238" t="s">
        <v>79</v>
      </c>
      <c r="D716" s="238" t="s">
        <v>356</v>
      </c>
      <c r="E716" s="238" t="s">
        <v>357</v>
      </c>
      <c r="F716" s="243" t="str">
        <f t="shared" si="26"/>
        <v>2011-12 - Reactive chemicals</v>
      </c>
      <c r="G716" s="244"/>
      <c r="H716" s="244"/>
      <c r="I716" s="244"/>
      <c r="J716" s="244"/>
      <c r="K716" s="244"/>
      <c r="L716" s="244" t="s">
        <v>218</v>
      </c>
      <c r="M716" s="244"/>
      <c r="N716" s="244"/>
      <c r="O716" s="244"/>
      <c r="P716" s="245"/>
    </row>
    <row r="717" spans="2:16" hidden="1">
      <c r="B717" s="238" t="s">
        <v>122</v>
      </c>
      <c r="C717" s="238" t="s">
        <v>79</v>
      </c>
      <c r="D717" s="238" t="s">
        <v>161</v>
      </c>
      <c r="E717" s="238" t="s">
        <v>358</v>
      </c>
      <c r="F717" s="243" t="str">
        <f t="shared" si="26"/>
        <v>2011-12 - Paints, resins, inks organic sludges</v>
      </c>
      <c r="G717" s="244"/>
      <c r="H717" s="244"/>
      <c r="I717" s="244"/>
      <c r="J717" s="244"/>
      <c r="K717" s="244"/>
      <c r="L717" s="244" t="s">
        <v>218</v>
      </c>
      <c r="M717" s="244"/>
      <c r="N717" s="244"/>
      <c r="O717" s="244">
        <v>0.84</v>
      </c>
      <c r="P717" s="245"/>
    </row>
    <row r="718" spans="2:16" hidden="1">
      <c r="B718" s="238" t="s">
        <v>122</v>
      </c>
      <c r="C718" s="238" t="s">
        <v>79</v>
      </c>
      <c r="D718" s="238" t="s">
        <v>219</v>
      </c>
      <c r="E718" s="238" t="s">
        <v>359</v>
      </c>
      <c r="F718" s="243" t="str">
        <f t="shared" si="26"/>
        <v>2011-12 - Organic solvents</v>
      </c>
      <c r="G718" s="244"/>
      <c r="H718" s="244"/>
      <c r="I718" s="244"/>
      <c r="J718" s="244"/>
      <c r="K718" s="244"/>
      <c r="L718" s="244" t="s">
        <v>218</v>
      </c>
      <c r="M718" s="244"/>
      <c r="N718" s="244"/>
      <c r="O718" s="244">
        <v>0.4</v>
      </c>
      <c r="P718" s="245"/>
    </row>
    <row r="719" spans="2:16" hidden="1">
      <c r="B719" s="238" t="s">
        <v>122</v>
      </c>
      <c r="C719" s="238" t="s">
        <v>79</v>
      </c>
      <c r="D719" s="238" t="s">
        <v>228</v>
      </c>
      <c r="E719" s="238" t="s">
        <v>360</v>
      </c>
      <c r="F719" s="243" t="str">
        <f t="shared" si="26"/>
        <v>2011-12 - Pesticides</v>
      </c>
      <c r="G719" s="244"/>
      <c r="H719" s="244"/>
      <c r="I719" s="244"/>
      <c r="J719" s="244"/>
      <c r="K719" s="244"/>
      <c r="L719" s="244" t="s">
        <v>218</v>
      </c>
      <c r="M719" s="244"/>
      <c r="N719" s="244"/>
      <c r="O719" s="244"/>
      <c r="P719" s="245"/>
    </row>
    <row r="720" spans="2:16" hidden="1">
      <c r="B720" s="238" t="s">
        <v>122</v>
      </c>
      <c r="C720" s="238" t="s">
        <v>79</v>
      </c>
      <c r="D720" s="238" t="s">
        <v>231</v>
      </c>
      <c r="E720" s="238" t="s">
        <v>361</v>
      </c>
      <c r="F720" s="243" t="str">
        <f t="shared" si="26"/>
        <v>2011-12 - Oils</v>
      </c>
      <c r="G720" s="244"/>
      <c r="H720" s="244"/>
      <c r="I720" s="244"/>
      <c r="J720" s="244"/>
      <c r="K720" s="244"/>
      <c r="L720" s="244" t="s">
        <v>218</v>
      </c>
      <c r="M720" s="244"/>
      <c r="N720" s="244"/>
      <c r="O720" s="244">
        <v>16.899999999999999</v>
      </c>
      <c r="P720" s="245"/>
    </row>
    <row r="721" spans="2:16" hidden="1">
      <c r="B721" s="238" t="s">
        <v>122</v>
      </c>
      <c r="C721" s="238" t="s">
        <v>79</v>
      </c>
      <c r="D721" s="238" t="s">
        <v>362</v>
      </c>
      <c r="E721" s="238" t="s">
        <v>363</v>
      </c>
      <c r="F721" s="243" t="str">
        <f t="shared" si="26"/>
        <v>2011-12 - Putrescible/organic waste</v>
      </c>
      <c r="G721" s="244"/>
      <c r="H721" s="244"/>
      <c r="I721" s="244"/>
      <c r="J721" s="244"/>
      <c r="K721" s="244"/>
      <c r="L721" s="244" t="s">
        <v>218</v>
      </c>
      <c r="M721" s="244"/>
      <c r="N721" s="244"/>
      <c r="O721" s="244">
        <v>14.4</v>
      </c>
      <c r="P721" s="245"/>
    </row>
    <row r="722" spans="2:16" hidden="1">
      <c r="B722" s="238" t="s">
        <v>122</v>
      </c>
      <c r="C722" s="238" t="s">
        <v>79</v>
      </c>
      <c r="D722" s="238" t="s">
        <v>364</v>
      </c>
      <c r="E722" s="238" t="s">
        <v>365</v>
      </c>
      <c r="F722" s="243" t="str">
        <f t="shared" si="26"/>
        <v>2011-12 - Industrial washwater</v>
      </c>
      <c r="G722" s="244"/>
      <c r="H722" s="244"/>
      <c r="I722" s="244"/>
      <c r="J722" s="244"/>
      <c r="K722" s="244"/>
      <c r="L722" s="244" t="s">
        <v>218</v>
      </c>
      <c r="M722" s="244"/>
      <c r="N722" s="244"/>
      <c r="O722" s="244"/>
      <c r="P722" s="245"/>
    </row>
    <row r="723" spans="2:16" hidden="1">
      <c r="B723" s="238" t="s">
        <v>122</v>
      </c>
      <c r="C723" s="238" t="s">
        <v>79</v>
      </c>
      <c r="D723" s="238" t="s">
        <v>235</v>
      </c>
      <c r="E723" s="238" t="s">
        <v>366</v>
      </c>
      <c r="F723" s="243" t="str">
        <f t="shared" si="26"/>
        <v>2011-12 - Organic chemicals</v>
      </c>
      <c r="G723" s="244"/>
      <c r="H723" s="244"/>
      <c r="I723" s="244"/>
      <c r="J723" s="244"/>
      <c r="K723" s="244"/>
      <c r="L723" s="244" t="s">
        <v>218</v>
      </c>
      <c r="M723" s="244"/>
      <c r="N723" s="244"/>
      <c r="O723" s="244"/>
      <c r="P723" s="245"/>
    </row>
    <row r="724" spans="2:16" hidden="1">
      <c r="B724" s="238" t="s">
        <v>122</v>
      </c>
      <c r="C724" s="238" t="s">
        <v>79</v>
      </c>
      <c r="D724" s="238" t="s">
        <v>367</v>
      </c>
      <c r="E724" s="238" t="s">
        <v>368</v>
      </c>
      <c r="F724" s="243" t="str">
        <f t="shared" si="26"/>
        <v>2011-12 - Soil/sludge</v>
      </c>
      <c r="G724" s="244"/>
      <c r="H724" s="244"/>
      <c r="I724" s="244"/>
      <c r="J724" s="244"/>
      <c r="K724" s="244"/>
      <c r="L724" s="244" t="s">
        <v>218</v>
      </c>
      <c r="M724" s="244"/>
      <c r="N724" s="244"/>
      <c r="O724" s="244">
        <v>70.510000000000005</v>
      </c>
      <c r="P724" s="245"/>
    </row>
    <row r="725" spans="2:16" hidden="1">
      <c r="B725" s="238" t="s">
        <v>122</v>
      </c>
      <c r="C725" s="238" t="s">
        <v>79</v>
      </c>
      <c r="D725" s="238" t="s">
        <v>216</v>
      </c>
      <c r="E725" s="238" t="s">
        <v>369</v>
      </c>
      <c r="F725" s="243" t="str">
        <f t="shared" si="26"/>
        <v>2011-12 - Clinical &amp; pharmaceutical</v>
      </c>
      <c r="G725" s="244"/>
      <c r="H725" s="244"/>
      <c r="I725" s="244"/>
      <c r="J725" s="244"/>
      <c r="K725" s="244"/>
      <c r="L725" s="244" t="s">
        <v>218</v>
      </c>
      <c r="M725" s="244"/>
      <c r="N725" s="244"/>
      <c r="O725" s="244"/>
      <c r="P725" s="245"/>
    </row>
    <row r="726" spans="2:16" hidden="1">
      <c r="B726" s="238" t="s">
        <v>122</v>
      </c>
      <c r="C726" s="238" t="s">
        <v>79</v>
      </c>
      <c r="D726" s="238" t="s">
        <v>370</v>
      </c>
      <c r="E726" s="238" t="s">
        <v>371</v>
      </c>
      <c r="F726" s="243" t="str">
        <f t="shared" si="26"/>
        <v>2011-12 - Misc.</v>
      </c>
      <c r="G726" s="244"/>
      <c r="H726" s="244"/>
      <c r="I726" s="244"/>
      <c r="J726" s="244"/>
      <c r="K726" s="244"/>
      <c r="L726" s="244" t="s">
        <v>218</v>
      </c>
      <c r="M726" s="244"/>
      <c r="N726" s="244"/>
      <c r="O726" s="244"/>
      <c r="P726" s="245"/>
    </row>
    <row r="727" spans="2:16" hidden="1">
      <c r="B727" s="238" t="s">
        <v>122</v>
      </c>
      <c r="C727" s="238" t="s">
        <v>80</v>
      </c>
      <c r="D727" s="238" t="s">
        <v>157</v>
      </c>
      <c r="E727" s="238" t="s">
        <v>352</v>
      </c>
      <c r="F727" s="243" t="str">
        <f t="shared" si="26"/>
        <v>2010-11 - Plating &amp; heat treatment</v>
      </c>
      <c r="G727" s="244"/>
      <c r="H727" s="244"/>
      <c r="I727" s="244"/>
      <c r="J727" s="244"/>
      <c r="K727" s="244"/>
      <c r="L727" s="244" t="s">
        <v>218</v>
      </c>
      <c r="M727" s="244"/>
      <c r="N727" s="244"/>
      <c r="O727" s="244"/>
      <c r="P727" s="245"/>
    </row>
    <row r="728" spans="2:16" hidden="1">
      <c r="B728" s="238" t="s">
        <v>122</v>
      </c>
      <c r="C728" s="238" t="s">
        <v>80</v>
      </c>
      <c r="D728" s="238" t="s">
        <v>186</v>
      </c>
      <c r="E728" s="238" t="s">
        <v>353</v>
      </c>
      <c r="F728" s="243" t="str">
        <f t="shared" si="26"/>
        <v>2010-11 - Acids</v>
      </c>
      <c r="G728" s="244"/>
      <c r="H728" s="244"/>
      <c r="I728" s="244"/>
      <c r="J728" s="244"/>
      <c r="K728" s="244">
        <v>52</v>
      </c>
      <c r="L728" s="244" t="s">
        <v>218</v>
      </c>
      <c r="M728" s="244"/>
      <c r="N728" s="244"/>
      <c r="O728" s="244">
        <v>0.3</v>
      </c>
      <c r="P728" s="245"/>
    </row>
    <row r="729" spans="2:16" hidden="1">
      <c r="B729" s="238" t="s">
        <v>122</v>
      </c>
      <c r="C729" s="238" t="s">
        <v>80</v>
      </c>
      <c r="D729" s="238" t="s">
        <v>247</v>
      </c>
      <c r="E729" s="238" t="s">
        <v>354</v>
      </c>
      <c r="F729" s="243" t="str">
        <f t="shared" si="26"/>
        <v>2010-11 - Alkalis</v>
      </c>
      <c r="G729" s="244"/>
      <c r="H729" s="244"/>
      <c r="I729" s="244"/>
      <c r="J729" s="244"/>
      <c r="K729" s="244"/>
      <c r="L729" s="244" t="s">
        <v>218</v>
      </c>
      <c r="M729" s="244"/>
      <c r="N729" s="244"/>
      <c r="O729" s="244"/>
      <c r="P729" s="245"/>
    </row>
    <row r="730" spans="2:16">
      <c r="B730" s="238" t="s">
        <v>122</v>
      </c>
      <c r="C730" s="238" t="s">
        <v>80</v>
      </c>
      <c r="D730" s="238" t="s">
        <v>159</v>
      </c>
      <c r="E730" s="238" t="s">
        <v>355</v>
      </c>
      <c r="F730" s="243" t="str">
        <f t="shared" si="26"/>
        <v>2010-11 - Inorganic chemicals</v>
      </c>
      <c r="G730" s="244"/>
      <c r="H730" s="244"/>
      <c r="I730" s="244"/>
      <c r="J730" s="244"/>
      <c r="K730" s="244"/>
      <c r="L730" s="244" t="s">
        <v>218</v>
      </c>
      <c r="M730" s="244"/>
      <c r="N730" s="244"/>
      <c r="O730" s="244">
        <v>0.1</v>
      </c>
      <c r="P730" s="245"/>
    </row>
    <row r="731" spans="2:16" hidden="1">
      <c r="B731" s="238" t="s">
        <v>122</v>
      </c>
      <c r="C731" s="238" t="s">
        <v>80</v>
      </c>
      <c r="D731" s="238" t="s">
        <v>356</v>
      </c>
      <c r="E731" s="238" t="s">
        <v>357</v>
      </c>
      <c r="F731" s="243" t="str">
        <f t="shared" si="26"/>
        <v>2010-11 - Reactive chemicals</v>
      </c>
      <c r="G731" s="244"/>
      <c r="H731" s="244"/>
      <c r="I731" s="244"/>
      <c r="J731" s="244"/>
      <c r="K731" s="244"/>
      <c r="L731" s="244" t="s">
        <v>218</v>
      </c>
      <c r="M731" s="244"/>
      <c r="N731" s="244"/>
      <c r="O731" s="244"/>
      <c r="P731" s="245"/>
    </row>
    <row r="732" spans="2:16" hidden="1">
      <c r="B732" s="238" t="s">
        <v>122</v>
      </c>
      <c r="C732" s="238" t="s">
        <v>80</v>
      </c>
      <c r="D732" s="238" t="s">
        <v>161</v>
      </c>
      <c r="E732" s="238" t="s">
        <v>358</v>
      </c>
      <c r="F732" s="243" t="str">
        <f t="shared" si="26"/>
        <v>2010-11 - Paints, resins, inks organic sludges</v>
      </c>
      <c r="G732" s="244"/>
      <c r="H732" s="244"/>
      <c r="I732" s="244"/>
      <c r="J732" s="244"/>
      <c r="K732" s="244"/>
      <c r="L732" s="244" t="s">
        <v>218</v>
      </c>
      <c r="M732" s="244"/>
      <c r="N732" s="244"/>
      <c r="O732" s="244"/>
      <c r="P732" s="245"/>
    </row>
    <row r="733" spans="2:16" hidden="1">
      <c r="B733" s="238" t="s">
        <v>122</v>
      </c>
      <c r="C733" s="238" t="s">
        <v>80</v>
      </c>
      <c r="D733" s="238" t="s">
        <v>219</v>
      </c>
      <c r="E733" s="238" t="s">
        <v>359</v>
      </c>
      <c r="F733" s="243" t="str">
        <f t="shared" si="26"/>
        <v>2010-11 - Organic solvents</v>
      </c>
      <c r="G733" s="244"/>
      <c r="H733" s="244"/>
      <c r="I733" s="244"/>
      <c r="J733" s="244"/>
      <c r="K733" s="244"/>
      <c r="L733" s="244" t="s">
        <v>218</v>
      </c>
      <c r="M733" s="244"/>
      <c r="N733" s="244"/>
      <c r="O733" s="244">
        <v>27.1</v>
      </c>
      <c r="P733" s="245"/>
    </row>
    <row r="734" spans="2:16" hidden="1">
      <c r="B734" s="238" t="s">
        <v>122</v>
      </c>
      <c r="C734" s="238" t="s">
        <v>80</v>
      </c>
      <c r="D734" s="238" t="s">
        <v>228</v>
      </c>
      <c r="E734" s="238" t="s">
        <v>360</v>
      </c>
      <c r="F734" s="243" t="str">
        <f t="shared" si="26"/>
        <v>2010-11 - Pesticides</v>
      </c>
      <c r="G734" s="244"/>
      <c r="H734" s="244"/>
      <c r="I734" s="244"/>
      <c r="J734" s="244"/>
      <c r="K734" s="244"/>
      <c r="L734" s="244" t="s">
        <v>218</v>
      </c>
      <c r="M734" s="244"/>
      <c r="N734" s="244"/>
      <c r="O734" s="244"/>
      <c r="P734" s="245"/>
    </row>
    <row r="735" spans="2:16" hidden="1">
      <c r="B735" s="238" t="s">
        <v>122</v>
      </c>
      <c r="C735" s="238" t="s">
        <v>80</v>
      </c>
      <c r="D735" s="238" t="s">
        <v>231</v>
      </c>
      <c r="E735" s="238" t="s">
        <v>361</v>
      </c>
      <c r="F735" s="243" t="str">
        <f t="shared" si="26"/>
        <v>2010-11 - Oils</v>
      </c>
      <c r="G735" s="244"/>
      <c r="H735" s="244"/>
      <c r="I735" s="244"/>
      <c r="J735" s="244"/>
      <c r="K735" s="244"/>
      <c r="L735" s="244" t="s">
        <v>218</v>
      </c>
      <c r="M735" s="244"/>
      <c r="N735" s="244"/>
      <c r="O735" s="244">
        <v>9.6</v>
      </c>
      <c r="P735" s="245"/>
    </row>
    <row r="736" spans="2:16" hidden="1">
      <c r="B736" s="238" t="s">
        <v>122</v>
      </c>
      <c r="C736" s="238" t="s">
        <v>80</v>
      </c>
      <c r="D736" s="238" t="s">
        <v>362</v>
      </c>
      <c r="E736" s="238" t="s">
        <v>363</v>
      </c>
      <c r="F736" s="243" t="str">
        <f t="shared" si="26"/>
        <v>2010-11 - Putrescible/organic waste</v>
      </c>
      <c r="G736" s="244"/>
      <c r="H736" s="244"/>
      <c r="I736" s="244"/>
      <c r="J736" s="244"/>
      <c r="K736" s="244"/>
      <c r="L736" s="244" t="s">
        <v>218</v>
      </c>
      <c r="M736" s="244"/>
      <c r="N736" s="244"/>
      <c r="O736" s="244">
        <v>27</v>
      </c>
      <c r="P736" s="245"/>
    </row>
    <row r="737" spans="2:16" hidden="1">
      <c r="B737" s="238" t="s">
        <v>122</v>
      </c>
      <c r="C737" s="238" t="s">
        <v>80</v>
      </c>
      <c r="D737" s="238" t="s">
        <v>364</v>
      </c>
      <c r="E737" s="238" t="s">
        <v>365</v>
      </c>
      <c r="F737" s="243" t="str">
        <f t="shared" si="26"/>
        <v>2010-11 - Industrial washwater</v>
      </c>
      <c r="G737" s="244"/>
      <c r="H737" s="244"/>
      <c r="I737" s="244"/>
      <c r="J737" s="244"/>
      <c r="K737" s="244"/>
      <c r="L737" s="244" t="s">
        <v>218</v>
      </c>
      <c r="M737" s="244"/>
      <c r="N737" s="244"/>
      <c r="O737" s="244"/>
      <c r="P737" s="245"/>
    </row>
    <row r="738" spans="2:16" hidden="1">
      <c r="B738" s="238" t="s">
        <v>122</v>
      </c>
      <c r="C738" s="238" t="s">
        <v>80</v>
      </c>
      <c r="D738" s="238" t="s">
        <v>235</v>
      </c>
      <c r="E738" s="238" t="s">
        <v>366</v>
      </c>
      <c r="F738" s="243" t="str">
        <f t="shared" si="26"/>
        <v>2010-11 - Organic chemicals</v>
      </c>
      <c r="G738" s="244"/>
      <c r="H738" s="244"/>
      <c r="I738" s="244"/>
      <c r="J738" s="244"/>
      <c r="K738" s="244"/>
      <c r="L738" s="244" t="s">
        <v>218</v>
      </c>
      <c r="M738" s="244"/>
      <c r="N738" s="244"/>
      <c r="O738" s="244"/>
      <c r="P738" s="245"/>
    </row>
    <row r="739" spans="2:16" hidden="1">
      <c r="B739" s="238" t="s">
        <v>122</v>
      </c>
      <c r="C739" s="238" t="s">
        <v>80</v>
      </c>
      <c r="D739" s="238" t="s">
        <v>367</v>
      </c>
      <c r="E739" s="238" t="s">
        <v>368</v>
      </c>
      <c r="F739" s="243" t="str">
        <f t="shared" si="26"/>
        <v>2010-11 - Soil/sludge</v>
      </c>
      <c r="G739" s="244"/>
      <c r="H739" s="244"/>
      <c r="I739" s="244"/>
      <c r="J739" s="244"/>
      <c r="K739" s="244"/>
      <c r="L739" s="244" t="s">
        <v>218</v>
      </c>
      <c r="M739" s="244"/>
      <c r="N739" s="244"/>
      <c r="O739" s="244">
        <v>16.7</v>
      </c>
      <c r="P739" s="245"/>
    </row>
    <row r="740" spans="2:16" hidden="1">
      <c r="B740" s="238" t="s">
        <v>122</v>
      </c>
      <c r="C740" s="238" t="s">
        <v>80</v>
      </c>
      <c r="D740" s="238" t="s">
        <v>216</v>
      </c>
      <c r="E740" s="238" t="s">
        <v>369</v>
      </c>
      <c r="F740" s="243" t="str">
        <f t="shared" si="26"/>
        <v>2010-11 - Clinical &amp; pharmaceutical</v>
      </c>
      <c r="G740" s="244"/>
      <c r="H740" s="244"/>
      <c r="I740" s="244"/>
      <c r="J740" s="244"/>
      <c r="K740" s="244"/>
      <c r="L740" s="244" t="s">
        <v>218</v>
      </c>
      <c r="M740" s="244"/>
      <c r="N740" s="244"/>
      <c r="O740" s="244"/>
      <c r="P740" s="245"/>
    </row>
    <row r="741" spans="2:16" hidden="1">
      <c r="B741" s="238" t="s">
        <v>122</v>
      </c>
      <c r="C741" s="238" t="s">
        <v>80</v>
      </c>
      <c r="D741" s="238" t="s">
        <v>370</v>
      </c>
      <c r="E741" s="238" t="s">
        <v>371</v>
      </c>
      <c r="F741" s="243" t="str">
        <f t="shared" si="26"/>
        <v>2010-11 - Misc.</v>
      </c>
      <c r="G741" s="244"/>
      <c r="H741" s="244"/>
      <c r="I741" s="244"/>
      <c r="J741" s="244"/>
      <c r="K741" s="244"/>
      <c r="L741" s="244" t="s">
        <v>218</v>
      </c>
      <c r="M741" s="244"/>
      <c r="N741" s="244"/>
      <c r="O741" s="244"/>
      <c r="P741" s="245"/>
    </row>
    <row r="742" spans="2:16" hidden="1">
      <c r="B742" s="238" t="s">
        <v>122</v>
      </c>
      <c r="C742" s="238" t="s">
        <v>81</v>
      </c>
      <c r="D742" s="238" t="s">
        <v>157</v>
      </c>
      <c r="E742" s="238" t="s">
        <v>352</v>
      </c>
      <c r="F742" s="243" t="str">
        <f t="shared" si="26"/>
        <v>2009-10 - Plating &amp; heat treatment</v>
      </c>
      <c r="G742" s="244"/>
      <c r="H742" s="244"/>
      <c r="I742" s="244"/>
      <c r="J742" s="244"/>
      <c r="K742" s="244"/>
      <c r="L742" s="244" t="s">
        <v>218</v>
      </c>
      <c r="M742" s="244"/>
      <c r="N742" s="244"/>
      <c r="O742" s="244"/>
      <c r="P742" s="245"/>
    </row>
    <row r="743" spans="2:16" hidden="1">
      <c r="B743" s="238" t="s">
        <v>122</v>
      </c>
      <c r="C743" s="238" t="s">
        <v>81</v>
      </c>
      <c r="D743" s="238" t="s">
        <v>186</v>
      </c>
      <c r="E743" s="238" t="s">
        <v>353</v>
      </c>
      <c r="F743" s="243" t="str">
        <f t="shared" si="26"/>
        <v>2009-10 - Acids</v>
      </c>
      <c r="G743" s="244"/>
      <c r="H743" s="244"/>
      <c r="I743" s="244"/>
      <c r="J743" s="244"/>
      <c r="K743" s="244"/>
      <c r="L743" s="244" t="s">
        <v>218</v>
      </c>
      <c r="M743" s="244"/>
      <c r="N743" s="244"/>
      <c r="O743" s="244">
        <v>0.26</v>
      </c>
      <c r="P743" s="245"/>
    </row>
    <row r="744" spans="2:16" hidden="1">
      <c r="B744" s="238" t="s">
        <v>122</v>
      </c>
      <c r="C744" s="238" t="s">
        <v>81</v>
      </c>
      <c r="D744" s="238" t="s">
        <v>247</v>
      </c>
      <c r="E744" s="238" t="s">
        <v>354</v>
      </c>
      <c r="F744" s="243" t="str">
        <f t="shared" si="26"/>
        <v>2009-10 - Alkalis</v>
      </c>
      <c r="G744" s="244"/>
      <c r="H744" s="244"/>
      <c r="I744" s="244"/>
      <c r="J744" s="244"/>
      <c r="K744" s="244"/>
      <c r="L744" s="244" t="s">
        <v>218</v>
      </c>
      <c r="M744" s="244"/>
      <c r="N744" s="244"/>
      <c r="O744" s="244"/>
      <c r="P744" s="245"/>
    </row>
    <row r="745" spans="2:16">
      <c r="B745" s="238" t="s">
        <v>122</v>
      </c>
      <c r="C745" s="238" t="s">
        <v>81</v>
      </c>
      <c r="D745" s="238" t="s">
        <v>159</v>
      </c>
      <c r="E745" s="238" t="s">
        <v>355</v>
      </c>
      <c r="F745" s="243" t="str">
        <f t="shared" si="26"/>
        <v>2009-10 - Inorganic chemicals</v>
      </c>
      <c r="G745" s="244"/>
      <c r="H745" s="244"/>
      <c r="I745" s="244"/>
      <c r="J745" s="244"/>
      <c r="K745" s="244"/>
      <c r="L745" s="244" t="s">
        <v>218</v>
      </c>
      <c r="M745" s="244"/>
      <c r="N745" s="244"/>
      <c r="O745" s="244">
        <v>4.57</v>
      </c>
      <c r="P745" s="245"/>
    </row>
    <row r="746" spans="2:16" hidden="1">
      <c r="B746" s="238" t="s">
        <v>122</v>
      </c>
      <c r="C746" s="238" t="s">
        <v>81</v>
      </c>
      <c r="D746" s="238" t="s">
        <v>356</v>
      </c>
      <c r="E746" s="238" t="s">
        <v>357</v>
      </c>
      <c r="F746" s="243" t="str">
        <f t="shared" si="26"/>
        <v>2009-10 - Reactive chemicals</v>
      </c>
      <c r="G746" s="244"/>
      <c r="H746" s="244"/>
      <c r="I746" s="244"/>
      <c r="J746" s="244"/>
      <c r="K746" s="244"/>
      <c r="L746" s="244" t="s">
        <v>218</v>
      </c>
      <c r="M746" s="244"/>
      <c r="N746" s="244"/>
      <c r="O746" s="244"/>
      <c r="P746" s="245"/>
    </row>
    <row r="747" spans="2:16" hidden="1">
      <c r="B747" s="238" t="s">
        <v>122</v>
      </c>
      <c r="C747" s="238" t="s">
        <v>81</v>
      </c>
      <c r="D747" s="238" t="s">
        <v>161</v>
      </c>
      <c r="E747" s="238" t="s">
        <v>358</v>
      </c>
      <c r="F747" s="243" t="str">
        <f t="shared" si="26"/>
        <v>2009-10 - Paints, resins, inks organic sludges</v>
      </c>
      <c r="G747" s="244"/>
      <c r="H747" s="244"/>
      <c r="I747" s="244"/>
      <c r="J747" s="244"/>
      <c r="K747" s="244"/>
      <c r="L747" s="244" t="s">
        <v>218</v>
      </c>
      <c r="M747" s="244"/>
      <c r="N747" s="244"/>
      <c r="O747" s="244"/>
      <c r="P747" s="245"/>
    </row>
    <row r="748" spans="2:16" hidden="1">
      <c r="B748" s="238" t="s">
        <v>122</v>
      </c>
      <c r="C748" s="238" t="s">
        <v>81</v>
      </c>
      <c r="D748" s="238" t="s">
        <v>219</v>
      </c>
      <c r="E748" s="238" t="s">
        <v>359</v>
      </c>
      <c r="F748" s="243" t="str">
        <f t="shared" ref="F748:F811" si="27">CONCATENATE(C748," - ",E748)</f>
        <v>2009-10 - Organic solvents</v>
      </c>
      <c r="G748" s="244"/>
      <c r="H748" s="244"/>
      <c r="I748" s="244"/>
      <c r="J748" s="244"/>
      <c r="K748" s="244"/>
      <c r="L748" s="244" t="s">
        <v>218</v>
      </c>
      <c r="M748" s="244"/>
      <c r="N748" s="244"/>
      <c r="O748" s="244">
        <v>15.25</v>
      </c>
      <c r="P748" s="245"/>
    </row>
    <row r="749" spans="2:16" hidden="1">
      <c r="B749" s="238" t="s">
        <v>122</v>
      </c>
      <c r="C749" s="238" t="s">
        <v>81</v>
      </c>
      <c r="D749" s="238" t="s">
        <v>228</v>
      </c>
      <c r="E749" s="238" t="s">
        <v>360</v>
      </c>
      <c r="F749" s="243" t="str">
        <f t="shared" si="27"/>
        <v>2009-10 - Pesticides</v>
      </c>
      <c r="G749" s="244"/>
      <c r="H749" s="244"/>
      <c r="I749" s="244"/>
      <c r="J749" s="244"/>
      <c r="K749" s="244"/>
      <c r="L749" s="244" t="s">
        <v>218</v>
      </c>
      <c r="M749" s="244"/>
      <c r="N749" s="244"/>
      <c r="O749" s="244"/>
      <c r="P749" s="245"/>
    </row>
    <row r="750" spans="2:16" hidden="1">
      <c r="B750" s="238" t="s">
        <v>122</v>
      </c>
      <c r="C750" s="238" t="s">
        <v>81</v>
      </c>
      <c r="D750" s="238" t="s">
        <v>231</v>
      </c>
      <c r="E750" s="238" t="s">
        <v>361</v>
      </c>
      <c r="F750" s="243" t="str">
        <f t="shared" si="27"/>
        <v>2009-10 - Oils</v>
      </c>
      <c r="G750" s="244"/>
      <c r="H750" s="244"/>
      <c r="I750" s="244"/>
      <c r="J750" s="244"/>
      <c r="K750" s="244"/>
      <c r="L750" s="244" t="s">
        <v>218</v>
      </c>
      <c r="M750" s="244"/>
      <c r="N750" s="244"/>
      <c r="O750" s="244">
        <v>128.16</v>
      </c>
      <c r="P750" s="245"/>
    </row>
    <row r="751" spans="2:16" hidden="1">
      <c r="B751" s="238" t="s">
        <v>122</v>
      </c>
      <c r="C751" s="238" t="s">
        <v>81</v>
      </c>
      <c r="D751" s="238" t="s">
        <v>362</v>
      </c>
      <c r="E751" s="238" t="s">
        <v>363</v>
      </c>
      <c r="F751" s="243" t="str">
        <f t="shared" si="27"/>
        <v>2009-10 - Putrescible/organic waste</v>
      </c>
      <c r="G751" s="244"/>
      <c r="H751" s="244"/>
      <c r="I751" s="244"/>
      <c r="J751" s="244"/>
      <c r="K751" s="244"/>
      <c r="L751" s="244" t="s">
        <v>218</v>
      </c>
      <c r="M751" s="244"/>
      <c r="N751" s="244"/>
      <c r="O751" s="244">
        <v>16.02</v>
      </c>
      <c r="P751" s="245"/>
    </row>
    <row r="752" spans="2:16" hidden="1">
      <c r="B752" s="238" t="s">
        <v>122</v>
      </c>
      <c r="C752" s="238" t="s">
        <v>81</v>
      </c>
      <c r="D752" s="238" t="s">
        <v>364</v>
      </c>
      <c r="E752" s="238" t="s">
        <v>365</v>
      </c>
      <c r="F752" s="243" t="str">
        <f t="shared" si="27"/>
        <v>2009-10 - Industrial washwater</v>
      </c>
      <c r="G752" s="244"/>
      <c r="H752" s="244"/>
      <c r="I752" s="244"/>
      <c r="J752" s="244"/>
      <c r="K752" s="244"/>
      <c r="L752" s="244" t="s">
        <v>218</v>
      </c>
      <c r="M752" s="244"/>
      <c r="N752" s="244"/>
      <c r="O752" s="244"/>
      <c r="P752" s="245"/>
    </row>
    <row r="753" spans="2:16" hidden="1">
      <c r="B753" s="238" t="s">
        <v>122</v>
      </c>
      <c r="C753" s="238" t="s">
        <v>81</v>
      </c>
      <c r="D753" s="238" t="s">
        <v>235</v>
      </c>
      <c r="E753" s="238" t="s">
        <v>366</v>
      </c>
      <c r="F753" s="243" t="str">
        <f t="shared" si="27"/>
        <v>2009-10 - Organic chemicals</v>
      </c>
      <c r="G753" s="244"/>
      <c r="H753" s="244"/>
      <c r="I753" s="244"/>
      <c r="J753" s="244"/>
      <c r="K753" s="244"/>
      <c r="L753" s="244" t="s">
        <v>218</v>
      </c>
      <c r="M753" s="244"/>
      <c r="N753" s="244"/>
      <c r="O753" s="244"/>
      <c r="P753" s="245"/>
    </row>
    <row r="754" spans="2:16" hidden="1">
      <c r="B754" s="238" t="s">
        <v>122</v>
      </c>
      <c r="C754" s="238" t="s">
        <v>81</v>
      </c>
      <c r="D754" s="238" t="s">
        <v>367</v>
      </c>
      <c r="E754" s="238" t="s">
        <v>368</v>
      </c>
      <c r="F754" s="243" t="str">
        <f t="shared" si="27"/>
        <v>2009-10 - Soil/sludge</v>
      </c>
      <c r="G754" s="244"/>
      <c r="H754" s="244"/>
      <c r="I754" s="244"/>
      <c r="J754" s="244"/>
      <c r="K754" s="244"/>
      <c r="L754" s="244" t="s">
        <v>218</v>
      </c>
      <c r="M754" s="244"/>
      <c r="N754" s="244"/>
      <c r="O754" s="244">
        <v>168.55</v>
      </c>
      <c r="P754" s="245"/>
    </row>
    <row r="755" spans="2:16" hidden="1">
      <c r="B755" s="238" t="s">
        <v>122</v>
      </c>
      <c r="C755" s="238" t="s">
        <v>81</v>
      </c>
      <c r="D755" s="238" t="s">
        <v>216</v>
      </c>
      <c r="E755" s="238" t="s">
        <v>369</v>
      </c>
      <c r="F755" s="243" t="str">
        <f t="shared" si="27"/>
        <v>2009-10 - Clinical &amp; pharmaceutical</v>
      </c>
      <c r="G755" s="244"/>
      <c r="H755" s="244"/>
      <c r="I755" s="244"/>
      <c r="J755" s="244"/>
      <c r="K755" s="244"/>
      <c r="L755" s="244" t="s">
        <v>218</v>
      </c>
      <c r="M755" s="244"/>
      <c r="N755" s="244"/>
      <c r="O755" s="244"/>
      <c r="P755" s="245"/>
    </row>
    <row r="756" spans="2:16" hidden="1">
      <c r="B756" s="238" t="s">
        <v>122</v>
      </c>
      <c r="C756" s="238" t="s">
        <v>81</v>
      </c>
      <c r="D756" s="238" t="s">
        <v>370</v>
      </c>
      <c r="E756" s="238" t="s">
        <v>371</v>
      </c>
      <c r="F756" s="243" t="str">
        <f t="shared" si="27"/>
        <v>2009-10 - Misc.</v>
      </c>
      <c r="G756" s="244"/>
      <c r="H756" s="244"/>
      <c r="I756" s="244"/>
      <c r="J756" s="244"/>
      <c r="K756" s="244"/>
      <c r="L756" s="244" t="s">
        <v>218</v>
      </c>
      <c r="M756" s="244"/>
      <c r="N756" s="244"/>
      <c r="O756" s="244">
        <v>0.26</v>
      </c>
      <c r="P756" s="245"/>
    </row>
    <row r="757" spans="2:16" hidden="1">
      <c r="B757" s="238" t="s">
        <v>122</v>
      </c>
      <c r="C757" s="238" t="s">
        <v>82</v>
      </c>
      <c r="D757" s="238" t="s">
        <v>157</v>
      </c>
      <c r="E757" s="238" t="s">
        <v>352</v>
      </c>
      <c r="F757" s="243" t="str">
        <f t="shared" si="27"/>
        <v>2008-09 - Plating &amp; heat treatment</v>
      </c>
      <c r="G757" s="244"/>
      <c r="H757" s="244"/>
      <c r="I757" s="244"/>
      <c r="J757" s="244"/>
      <c r="K757" s="244"/>
      <c r="L757" s="244" t="s">
        <v>218</v>
      </c>
      <c r="M757" s="244"/>
      <c r="N757" s="244"/>
      <c r="O757" s="244"/>
      <c r="P757" s="245" t="s">
        <v>380</v>
      </c>
    </row>
    <row r="758" spans="2:16" hidden="1">
      <c r="B758" s="238" t="s">
        <v>122</v>
      </c>
      <c r="C758" s="238" t="s">
        <v>82</v>
      </c>
      <c r="D758" s="238" t="s">
        <v>186</v>
      </c>
      <c r="E758" s="238" t="s">
        <v>353</v>
      </c>
      <c r="F758" s="243" t="str">
        <f t="shared" si="27"/>
        <v>2008-09 - Acids</v>
      </c>
      <c r="G758" s="244"/>
      <c r="H758" s="244"/>
      <c r="I758" s="244"/>
      <c r="J758" s="244"/>
      <c r="K758" s="244"/>
      <c r="L758" s="244" t="s">
        <v>218</v>
      </c>
      <c r="M758" s="244">
        <v>0.61</v>
      </c>
      <c r="N758" s="244"/>
      <c r="O758" s="244"/>
      <c r="P758" s="245" t="s">
        <v>380</v>
      </c>
    </row>
    <row r="759" spans="2:16" hidden="1">
      <c r="B759" s="238" t="s">
        <v>122</v>
      </c>
      <c r="C759" s="238" t="s">
        <v>82</v>
      </c>
      <c r="D759" s="238" t="s">
        <v>247</v>
      </c>
      <c r="E759" s="238" t="s">
        <v>354</v>
      </c>
      <c r="F759" s="243" t="str">
        <f t="shared" si="27"/>
        <v>2008-09 - Alkalis</v>
      </c>
      <c r="G759" s="244"/>
      <c r="H759" s="244"/>
      <c r="I759" s="244"/>
      <c r="J759" s="244"/>
      <c r="K759" s="244"/>
      <c r="L759" s="244" t="s">
        <v>218</v>
      </c>
      <c r="M759" s="244"/>
      <c r="N759" s="244"/>
      <c r="O759" s="244"/>
      <c r="P759" s="245" t="s">
        <v>380</v>
      </c>
    </row>
    <row r="760" spans="2:16">
      <c r="B760" s="238" t="s">
        <v>122</v>
      </c>
      <c r="C760" s="238" t="s">
        <v>82</v>
      </c>
      <c r="D760" s="238" t="s">
        <v>159</v>
      </c>
      <c r="E760" s="238" t="s">
        <v>355</v>
      </c>
      <c r="F760" s="243" t="str">
        <f t="shared" si="27"/>
        <v>2008-09 - Inorganic chemicals</v>
      </c>
      <c r="G760" s="244">
        <v>1449.46</v>
      </c>
      <c r="H760" s="244"/>
      <c r="I760" s="244"/>
      <c r="J760" s="244"/>
      <c r="K760" s="244"/>
      <c r="L760" s="244" t="s">
        <v>218</v>
      </c>
      <c r="M760" s="244">
        <v>4.67</v>
      </c>
      <c r="N760" s="244"/>
      <c r="O760" s="244"/>
      <c r="P760" s="245" t="s">
        <v>380</v>
      </c>
    </row>
    <row r="761" spans="2:16" hidden="1">
      <c r="B761" s="238" t="s">
        <v>122</v>
      </c>
      <c r="C761" s="238" t="s">
        <v>82</v>
      </c>
      <c r="D761" s="238" t="s">
        <v>356</v>
      </c>
      <c r="E761" s="238" t="s">
        <v>357</v>
      </c>
      <c r="F761" s="243" t="str">
        <f t="shared" si="27"/>
        <v>2008-09 - Reactive chemicals</v>
      </c>
      <c r="G761" s="244"/>
      <c r="H761" s="244"/>
      <c r="I761" s="244"/>
      <c r="J761" s="244"/>
      <c r="K761" s="244"/>
      <c r="L761" s="244" t="s">
        <v>218</v>
      </c>
      <c r="M761" s="244"/>
      <c r="N761" s="244"/>
      <c r="O761" s="244"/>
      <c r="P761" s="245" t="s">
        <v>380</v>
      </c>
    </row>
    <row r="762" spans="2:16" hidden="1">
      <c r="B762" s="238" t="s">
        <v>122</v>
      </c>
      <c r="C762" s="238" t="s">
        <v>82</v>
      </c>
      <c r="D762" s="238" t="s">
        <v>161</v>
      </c>
      <c r="E762" s="238" t="s">
        <v>358</v>
      </c>
      <c r="F762" s="243" t="str">
        <f t="shared" si="27"/>
        <v>2008-09 - Paints, resins, inks organic sludges</v>
      </c>
      <c r="G762" s="244"/>
      <c r="H762" s="244"/>
      <c r="I762" s="244"/>
      <c r="J762" s="244"/>
      <c r="K762" s="244"/>
      <c r="L762" s="244" t="s">
        <v>218</v>
      </c>
      <c r="M762" s="244"/>
      <c r="N762" s="244"/>
      <c r="O762" s="244"/>
      <c r="P762" s="245" t="s">
        <v>380</v>
      </c>
    </row>
    <row r="763" spans="2:16" hidden="1">
      <c r="B763" s="238" t="s">
        <v>122</v>
      </c>
      <c r="C763" s="238" t="s">
        <v>82</v>
      </c>
      <c r="D763" s="238" t="s">
        <v>219</v>
      </c>
      <c r="E763" s="238" t="s">
        <v>359</v>
      </c>
      <c r="F763" s="243" t="str">
        <f t="shared" si="27"/>
        <v>2008-09 - Organic solvents</v>
      </c>
      <c r="G763" s="244"/>
      <c r="H763" s="244"/>
      <c r="I763" s="244"/>
      <c r="J763" s="244"/>
      <c r="K763" s="244"/>
      <c r="L763" s="244" t="s">
        <v>218</v>
      </c>
      <c r="M763" s="244">
        <v>15.25</v>
      </c>
      <c r="N763" s="244"/>
      <c r="O763" s="244"/>
      <c r="P763" s="245" t="s">
        <v>380</v>
      </c>
    </row>
    <row r="764" spans="2:16" hidden="1">
      <c r="B764" s="238" t="s">
        <v>122</v>
      </c>
      <c r="C764" s="238" t="s">
        <v>82</v>
      </c>
      <c r="D764" s="238" t="s">
        <v>228</v>
      </c>
      <c r="E764" s="238" t="s">
        <v>360</v>
      </c>
      <c r="F764" s="243" t="str">
        <f t="shared" si="27"/>
        <v>2008-09 - Pesticides</v>
      </c>
      <c r="G764" s="244"/>
      <c r="H764" s="244"/>
      <c r="I764" s="244"/>
      <c r="J764" s="244"/>
      <c r="K764" s="244"/>
      <c r="L764" s="244" t="s">
        <v>218</v>
      </c>
      <c r="M764" s="244"/>
      <c r="N764" s="244"/>
      <c r="O764" s="244"/>
      <c r="P764" s="245" t="s">
        <v>380</v>
      </c>
    </row>
    <row r="765" spans="2:16" hidden="1">
      <c r="B765" s="238" t="s">
        <v>122</v>
      </c>
      <c r="C765" s="238" t="s">
        <v>82</v>
      </c>
      <c r="D765" s="238" t="s">
        <v>231</v>
      </c>
      <c r="E765" s="238" t="s">
        <v>361</v>
      </c>
      <c r="F765" s="243" t="str">
        <f t="shared" si="27"/>
        <v>2008-09 - Oils</v>
      </c>
      <c r="G765" s="244"/>
      <c r="H765" s="244"/>
      <c r="I765" s="244"/>
      <c r="J765" s="244"/>
      <c r="K765" s="244"/>
      <c r="L765" s="244" t="s">
        <v>218</v>
      </c>
      <c r="M765" s="244">
        <v>6.7</v>
      </c>
      <c r="N765" s="244"/>
      <c r="O765" s="244"/>
      <c r="P765" s="245" t="s">
        <v>380</v>
      </c>
    </row>
    <row r="766" spans="2:16" hidden="1">
      <c r="B766" s="238" t="s">
        <v>122</v>
      </c>
      <c r="C766" s="238" t="s">
        <v>82</v>
      </c>
      <c r="D766" s="238" t="s">
        <v>362</v>
      </c>
      <c r="E766" s="238" t="s">
        <v>363</v>
      </c>
      <c r="F766" s="243" t="str">
        <f t="shared" si="27"/>
        <v>2008-09 - Putrescible/organic waste</v>
      </c>
      <c r="G766" s="244"/>
      <c r="H766" s="244"/>
      <c r="I766" s="244"/>
      <c r="J766" s="244"/>
      <c r="K766" s="244"/>
      <c r="L766" s="244" t="s">
        <v>218</v>
      </c>
      <c r="M766" s="244">
        <v>15.62</v>
      </c>
      <c r="N766" s="244"/>
      <c r="O766" s="244"/>
      <c r="P766" s="245" t="s">
        <v>380</v>
      </c>
    </row>
    <row r="767" spans="2:16" hidden="1">
      <c r="B767" s="238" t="s">
        <v>122</v>
      </c>
      <c r="C767" s="238" t="s">
        <v>82</v>
      </c>
      <c r="D767" s="238" t="s">
        <v>364</v>
      </c>
      <c r="E767" s="238" t="s">
        <v>365</v>
      </c>
      <c r="F767" s="243" t="str">
        <f t="shared" si="27"/>
        <v>2008-09 - Industrial washwater</v>
      </c>
      <c r="G767" s="244"/>
      <c r="H767" s="244"/>
      <c r="I767" s="244"/>
      <c r="J767" s="244"/>
      <c r="K767" s="244"/>
      <c r="L767" s="244" t="s">
        <v>218</v>
      </c>
      <c r="M767" s="244"/>
      <c r="N767" s="244"/>
      <c r="O767" s="244"/>
      <c r="P767" s="245" t="s">
        <v>380</v>
      </c>
    </row>
    <row r="768" spans="2:16" hidden="1">
      <c r="B768" s="238" t="s">
        <v>122</v>
      </c>
      <c r="C768" s="238" t="s">
        <v>82</v>
      </c>
      <c r="D768" s="238" t="s">
        <v>235</v>
      </c>
      <c r="E768" s="238" t="s">
        <v>366</v>
      </c>
      <c r="F768" s="243" t="str">
        <f t="shared" si="27"/>
        <v>2008-09 - Organic chemicals</v>
      </c>
      <c r="G768" s="244"/>
      <c r="H768" s="244"/>
      <c r="I768" s="244"/>
      <c r="J768" s="244"/>
      <c r="K768" s="244"/>
      <c r="L768" s="244" t="s">
        <v>218</v>
      </c>
      <c r="M768" s="244"/>
      <c r="N768" s="244"/>
      <c r="O768" s="244"/>
      <c r="P768" s="245" t="s">
        <v>380</v>
      </c>
    </row>
    <row r="769" spans="2:16" hidden="1">
      <c r="B769" s="238" t="s">
        <v>122</v>
      </c>
      <c r="C769" s="238" t="s">
        <v>82</v>
      </c>
      <c r="D769" s="238" t="s">
        <v>367</v>
      </c>
      <c r="E769" s="238" t="s">
        <v>368</v>
      </c>
      <c r="F769" s="243" t="str">
        <f t="shared" si="27"/>
        <v>2008-09 - Soil/sludge</v>
      </c>
      <c r="G769" s="244"/>
      <c r="H769" s="244"/>
      <c r="I769" s="244"/>
      <c r="J769" s="244"/>
      <c r="K769" s="244"/>
      <c r="L769" s="244" t="s">
        <v>218</v>
      </c>
      <c r="M769" s="244">
        <v>168.55</v>
      </c>
      <c r="N769" s="244"/>
      <c r="O769" s="244"/>
      <c r="P769" s="245" t="s">
        <v>380</v>
      </c>
    </row>
    <row r="770" spans="2:16" hidden="1">
      <c r="B770" s="238" t="s">
        <v>122</v>
      </c>
      <c r="C770" s="238" t="s">
        <v>82</v>
      </c>
      <c r="D770" s="238" t="s">
        <v>216</v>
      </c>
      <c r="E770" s="238" t="s">
        <v>369</v>
      </c>
      <c r="F770" s="243" t="str">
        <f t="shared" si="27"/>
        <v>2008-09 - Clinical &amp; pharmaceutical</v>
      </c>
      <c r="G770" s="244"/>
      <c r="H770" s="244"/>
      <c r="I770" s="244"/>
      <c r="J770" s="244"/>
      <c r="K770" s="244"/>
      <c r="L770" s="244" t="s">
        <v>218</v>
      </c>
      <c r="M770" s="244">
        <v>0.41</v>
      </c>
      <c r="N770" s="244"/>
      <c r="O770" s="244"/>
      <c r="P770" s="245" t="s">
        <v>380</v>
      </c>
    </row>
    <row r="771" spans="2:16" hidden="1">
      <c r="B771" s="238" t="s">
        <v>122</v>
      </c>
      <c r="C771" s="238" t="s">
        <v>82</v>
      </c>
      <c r="D771" s="238" t="s">
        <v>370</v>
      </c>
      <c r="E771" s="238" t="s">
        <v>371</v>
      </c>
      <c r="F771" s="243" t="str">
        <f t="shared" si="27"/>
        <v>2008-09 - Misc.</v>
      </c>
      <c r="G771" s="244"/>
      <c r="H771" s="244"/>
      <c r="I771" s="244"/>
      <c r="J771" s="244"/>
      <c r="K771" s="244"/>
      <c r="L771" s="244" t="s">
        <v>218</v>
      </c>
      <c r="M771" s="244">
        <v>0.31</v>
      </c>
      <c r="N771" s="244"/>
      <c r="O771" s="244"/>
      <c r="P771" s="245" t="s">
        <v>380</v>
      </c>
    </row>
    <row r="772" spans="2:16" hidden="1">
      <c r="B772" s="238" t="s">
        <v>122</v>
      </c>
      <c r="C772" s="238" t="s">
        <v>83</v>
      </c>
      <c r="D772" s="238" t="s">
        <v>157</v>
      </c>
      <c r="E772" s="238" t="s">
        <v>352</v>
      </c>
      <c r="F772" s="243" t="str">
        <f t="shared" si="27"/>
        <v>2007-08 - Plating &amp; heat treatment</v>
      </c>
      <c r="G772" s="244"/>
      <c r="H772" s="244"/>
      <c r="I772" s="244"/>
      <c r="J772" s="244"/>
      <c r="K772" s="244"/>
      <c r="L772" s="244" t="s">
        <v>218</v>
      </c>
      <c r="M772" s="244"/>
      <c r="N772" s="244"/>
      <c r="O772" s="244"/>
      <c r="P772" s="245" t="s">
        <v>380</v>
      </c>
    </row>
    <row r="773" spans="2:16" hidden="1">
      <c r="B773" s="238" t="s">
        <v>122</v>
      </c>
      <c r="C773" s="238" t="s">
        <v>83</v>
      </c>
      <c r="D773" s="238" t="s">
        <v>186</v>
      </c>
      <c r="E773" s="238" t="s">
        <v>353</v>
      </c>
      <c r="F773" s="243" t="str">
        <f t="shared" si="27"/>
        <v>2007-08 - Acids</v>
      </c>
      <c r="G773" s="244"/>
      <c r="H773" s="244"/>
      <c r="I773" s="244"/>
      <c r="J773" s="244"/>
      <c r="K773" s="244"/>
      <c r="L773" s="244" t="s">
        <v>218</v>
      </c>
      <c r="M773" s="244">
        <v>2.16</v>
      </c>
      <c r="N773" s="244"/>
      <c r="O773" s="244"/>
      <c r="P773" s="245" t="s">
        <v>380</v>
      </c>
    </row>
    <row r="774" spans="2:16" hidden="1">
      <c r="B774" s="238" t="s">
        <v>122</v>
      </c>
      <c r="C774" s="238" t="s">
        <v>83</v>
      </c>
      <c r="D774" s="238" t="s">
        <v>247</v>
      </c>
      <c r="E774" s="238" t="s">
        <v>354</v>
      </c>
      <c r="F774" s="243" t="str">
        <f t="shared" si="27"/>
        <v>2007-08 - Alkalis</v>
      </c>
      <c r="G774" s="244"/>
      <c r="H774" s="244"/>
      <c r="I774" s="244"/>
      <c r="J774" s="244"/>
      <c r="K774" s="244"/>
      <c r="L774" s="244" t="s">
        <v>218</v>
      </c>
      <c r="M774" s="244"/>
      <c r="N774" s="244"/>
      <c r="O774" s="244"/>
      <c r="P774" s="245" t="s">
        <v>380</v>
      </c>
    </row>
    <row r="775" spans="2:16">
      <c r="B775" s="238" t="s">
        <v>122</v>
      </c>
      <c r="C775" s="238" t="s">
        <v>83</v>
      </c>
      <c r="D775" s="238" t="s">
        <v>159</v>
      </c>
      <c r="E775" s="238" t="s">
        <v>355</v>
      </c>
      <c r="F775" s="243" t="str">
        <f t="shared" si="27"/>
        <v>2007-08 - Inorganic chemicals</v>
      </c>
      <c r="G775" s="244">
        <v>622.96</v>
      </c>
      <c r="H775" s="244">
        <v>4735.5600000000004</v>
      </c>
      <c r="I775" s="244"/>
      <c r="J775" s="244"/>
      <c r="K775" s="244"/>
      <c r="L775" s="244" t="s">
        <v>218</v>
      </c>
      <c r="M775" s="244">
        <v>0.13</v>
      </c>
      <c r="N775" s="244"/>
      <c r="O775" s="244"/>
      <c r="P775" s="245" t="s">
        <v>380</v>
      </c>
    </row>
    <row r="776" spans="2:16" hidden="1">
      <c r="B776" s="238" t="s">
        <v>122</v>
      </c>
      <c r="C776" s="238" t="s">
        <v>83</v>
      </c>
      <c r="D776" s="238" t="s">
        <v>356</v>
      </c>
      <c r="E776" s="238" t="s">
        <v>357</v>
      </c>
      <c r="F776" s="243" t="str">
        <f t="shared" si="27"/>
        <v>2007-08 - Reactive chemicals</v>
      </c>
      <c r="G776" s="244"/>
      <c r="H776" s="244"/>
      <c r="I776" s="244"/>
      <c r="J776" s="244"/>
      <c r="K776" s="244"/>
      <c r="L776" s="244" t="s">
        <v>218</v>
      </c>
      <c r="M776" s="244"/>
      <c r="N776" s="244"/>
      <c r="O776" s="244"/>
      <c r="P776" s="245" t="s">
        <v>380</v>
      </c>
    </row>
    <row r="777" spans="2:16" hidden="1">
      <c r="B777" s="238" t="s">
        <v>122</v>
      </c>
      <c r="C777" s="238" t="s">
        <v>83</v>
      </c>
      <c r="D777" s="238" t="s">
        <v>161</v>
      </c>
      <c r="E777" s="238" t="s">
        <v>358</v>
      </c>
      <c r="F777" s="243" t="str">
        <f t="shared" si="27"/>
        <v>2007-08 - Paints, resins, inks organic sludges</v>
      </c>
      <c r="G777" s="244"/>
      <c r="H777" s="244"/>
      <c r="I777" s="244"/>
      <c r="J777" s="244"/>
      <c r="K777" s="244"/>
      <c r="L777" s="244" t="s">
        <v>218</v>
      </c>
      <c r="M777" s="244"/>
      <c r="N777" s="244"/>
      <c r="O777" s="244"/>
      <c r="P777" s="245" t="s">
        <v>380</v>
      </c>
    </row>
    <row r="778" spans="2:16" hidden="1">
      <c r="B778" s="238" t="s">
        <v>122</v>
      </c>
      <c r="C778" s="238" t="s">
        <v>83</v>
      </c>
      <c r="D778" s="238" t="s">
        <v>219</v>
      </c>
      <c r="E778" s="238" t="s">
        <v>359</v>
      </c>
      <c r="F778" s="243" t="str">
        <f t="shared" si="27"/>
        <v>2007-08 - Organic solvents</v>
      </c>
      <c r="G778" s="244"/>
      <c r="H778" s="244"/>
      <c r="I778" s="244"/>
      <c r="J778" s="244"/>
      <c r="K778" s="244"/>
      <c r="L778" s="244" t="s">
        <v>218</v>
      </c>
      <c r="M778" s="244">
        <v>18.2</v>
      </c>
      <c r="N778" s="244"/>
      <c r="O778" s="244"/>
      <c r="P778" s="245" t="s">
        <v>380</v>
      </c>
    </row>
    <row r="779" spans="2:16" hidden="1">
      <c r="B779" s="238" t="s">
        <v>122</v>
      </c>
      <c r="C779" s="238" t="s">
        <v>83</v>
      </c>
      <c r="D779" s="238" t="s">
        <v>228</v>
      </c>
      <c r="E779" s="238" t="s">
        <v>360</v>
      </c>
      <c r="F779" s="243" t="str">
        <f t="shared" si="27"/>
        <v>2007-08 - Pesticides</v>
      </c>
      <c r="G779" s="244"/>
      <c r="H779" s="244"/>
      <c r="I779" s="244"/>
      <c r="J779" s="244"/>
      <c r="K779" s="244"/>
      <c r="L779" s="244" t="s">
        <v>218</v>
      </c>
      <c r="M779" s="244"/>
      <c r="N779" s="244"/>
      <c r="O779" s="244"/>
      <c r="P779" s="245" t="s">
        <v>380</v>
      </c>
    </row>
    <row r="780" spans="2:16" hidden="1">
      <c r="B780" s="238" t="s">
        <v>122</v>
      </c>
      <c r="C780" s="238" t="s">
        <v>83</v>
      </c>
      <c r="D780" s="238" t="s">
        <v>231</v>
      </c>
      <c r="E780" s="238" t="s">
        <v>361</v>
      </c>
      <c r="F780" s="243" t="str">
        <f t="shared" si="27"/>
        <v>2007-08 - Oils</v>
      </c>
      <c r="G780" s="244"/>
      <c r="H780" s="244"/>
      <c r="I780" s="244"/>
      <c r="J780" s="244"/>
      <c r="K780" s="244"/>
      <c r="L780" s="244" t="s">
        <v>218</v>
      </c>
      <c r="M780" s="244">
        <v>4.8</v>
      </c>
      <c r="N780" s="244"/>
      <c r="O780" s="244"/>
      <c r="P780" s="245" t="s">
        <v>380</v>
      </c>
    </row>
    <row r="781" spans="2:16" hidden="1">
      <c r="B781" s="238" t="s">
        <v>122</v>
      </c>
      <c r="C781" s="238" t="s">
        <v>83</v>
      </c>
      <c r="D781" s="238" t="s">
        <v>362</v>
      </c>
      <c r="E781" s="238" t="s">
        <v>363</v>
      </c>
      <c r="F781" s="243" t="str">
        <f t="shared" si="27"/>
        <v>2007-08 - Putrescible/organic waste</v>
      </c>
      <c r="G781" s="244"/>
      <c r="H781" s="244"/>
      <c r="I781" s="244"/>
      <c r="J781" s="244"/>
      <c r="K781" s="244"/>
      <c r="L781" s="244" t="s">
        <v>218</v>
      </c>
      <c r="M781" s="244">
        <v>30.21</v>
      </c>
      <c r="N781" s="244"/>
      <c r="O781" s="244"/>
      <c r="P781" s="245" t="s">
        <v>380</v>
      </c>
    </row>
    <row r="782" spans="2:16" hidden="1">
      <c r="B782" s="238" t="s">
        <v>122</v>
      </c>
      <c r="C782" s="238" t="s">
        <v>83</v>
      </c>
      <c r="D782" s="238" t="s">
        <v>364</v>
      </c>
      <c r="E782" s="238" t="s">
        <v>365</v>
      </c>
      <c r="F782" s="243" t="str">
        <f t="shared" si="27"/>
        <v>2007-08 - Industrial washwater</v>
      </c>
      <c r="G782" s="244"/>
      <c r="H782" s="244"/>
      <c r="I782" s="244"/>
      <c r="J782" s="244"/>
      <c r="K782" s="244"/>
      <c r="L782" s="244" t="s">
        <v>218</v>
      </c>
      <c r="M782" s="244"/>
      <c r="N782" s="244"/>
      <c r="O782" s="244"/>
      <c r="P782" s="245" t="s">
        <v>380</v>
      </c>
    </row>
    <row r="783" spans="2:16" hidden="1">
      <c r="B783" s="238" t="s">
        <v>122</v>
      </c>
      <c r="C783" s="238" t="s">
        <v>83</v>
      </c>
      <c r="D783" s="238" t="s">
        <v>235</v>
      </c>
      <c r="E783" s="238" t="s">
        <v>366</v>
      </c>
      <c r="F783" s="243" t="str">
        <f t="shared" si="27"/>
        <v>2007-08 - Organic chemicals</v>
      </c>
      <c r="G783" s="244"/>
      <c r="H783" s="244"/>
      <c r="I783" s="244"/>
      <c r="J783" s="244"/>
      <c r="K783" s="244"/>
      <c r="L783" s="244" t="s">
        <v>218</v>
      </c>
      <c r="M783" s="244"/>
      <c r="N783" s="244"/>
      <c r="O783" s="244"/>
      <c r="P783" s="245" t="s">
        <v>380</v>
      </c>
    </row>
    <row r="784" spans="2:16" hidden="1">
      <c r="B784" s="238" t="s">
        <v>122</v>
      </c>
      <c r="C784" s="238" t="s">
        <v>83</v>
      </c>
      <c r="D784" s="238" t="s">
        <v>367</v>
      </c>
      <c r="E784" s="238" t="s">
        <v>368</v>
      </c>
      <c r="F784" s="243" t="str">
        <f t="shared" si="27"/>
        <v>2007-08 - Soil/sludge</v>
      </c>
      <c r="G784" s="244"/>
      <c r="H784" s="244"/>
      <c r="I784" s="244"/>
      <c r="J784" s="244"/>
      <c r="K784" s="244"/>
      <c r="L784" s="244" t="s">
        <v>218</v>
      </c>
      <c r="M784" s="244">
        <v>35.54</v>
      </c>
      <c r="N784" s="244"/>
      <c r="O784" s="244"/>
      <c r="P784" s="245" t="s">
        <v>380</v>
      </c>
    </row>
    <row r="785" spans="2:16" hidden="1">
      <c r="B785" s="238" t="s">
        <v>122</v>
      </c>
      <c r="C785" s="238" t="s">
        <v>83</v>
      </c>
      <c r="D785" s="238" t="s">
        <v>216</v>
      </c>
      <c r="E785" s="238" t="s">
        <v>369</v>
      </c>
      <c r="F785" s="243" t="str">
        <f t="shared" si="27"/>
        <v>2007-08 - Clinical &amp; pharmaceutical</v>
      </c>
      <c r="G785" s="244"/>
      <c r="H785" s="244"/>
      <c r="I785" s="244"/>
      <c r="J785" s="244"/>
      <c r="K785" s="244"/>
      <c r="L785" s="244" t="s">
        <v>218</v>
      </c>
      <c r="M785" s="244"/>
      <c r="N785" s="244"/>
      <c r="O785" s="244"/>
      <c r="P785" s="245" t="s">
        <v>380</v>
      </c>
    </row>
    <row r="786" spans="2:16" hidden="1">
      <c r="B786" s="238" t="s">
        <v>122</v>
      </c>
      <c r="C786" s="238" t="s">
        <v>83</v>
      </c>
      <c r="D786" s="238" t="s">
        <v>370</v>
      </c>
      <c r="E786" s="238" t="s">
        <v>371</v>
      </c>
      <c r="F786" s="243" t="str">
        <f t="shared" si="27"/>
        <v>2007-08 - Misc.</v>
      </c>
      <c r="G786" s="244"/>
      <c r="H786" s="244"/>
      <c r="I786" s="244"/>
      <c r="J786" s="244"/>
      <c r="K786" s="244"/>
      <c r="L786" s="244" t="s">
        <v>218</v>
      </c>
      <c r="M786" s="244">
        <v>0.28000000000000003</v>
      </c>
      <c r="N786" s="244"/>
      <c r="O786" s="244"/>
      <c r="P786" s="245" t="s">
        <v>380</v>
      </c>
    </row>
    <row r="787" spans="2:16" hidden="1">
      <c r="B787" s="238" t="s">
        <v>122</v>
      </c>
      <c r="C787" s="238" t="s">
        <v>86</v>
      </c>
      <c r="D787" s="238" t="s">
        <v>157</v>
      </c>
      <c r="E787" s="238" t="s">
        <v>352</v>
      </c>
      <c r="F787" s="243" t="str">
        <f t="shared" si="27"/>
        <v>2006-07 - Plating &amp; heat treatment</v>
      </c>
      <c r="G787" s="244"/>
      <c r="H787" s="244"/>
      <c r="I787" s="244"/>
      <c r="J787" s="244"/>
      <c r="K787" s="244"/>
      <c r="L787" s="244" t="s">
        <v>218</v>
      </c>
      <c r="M787" s="244"/>
      <c r="N787" s="244"/>
      <c r="O787" s="244"/>
      <c r="P787" s="245" t="s">
        <v>380</v>
      </c>
    </row>
    <row r="788" spans="2:16" hidden="1">
      <c r="B788" s="238" t="s">
        <v>122</v>
      </c>
      <c r="C788" s="238" t="s">
        <v>86</v>
      </c>
      <c r="D788" s="238" t="s">
        <v>186</v>
      </c>
      <c r="E788" s="238" t="s">
        <v>353</v>
      </c>
      <c r="F788" s="243" t="str">
        <f t="shared" si="27"/>
        <v>2006-07 - Acids</v>
      </c>
      <c r="G788" s="244"/>
      <c r="H788" s="244"/>
      <c r="I788" s="244"/>
      <c r="J788" s="244"/>
      <c r="K788" s="244"/>
      <c r="L788" s="244" t="s">
        <v>218</v>
      </c>
      <c r="M788" s="244">
        <v>1.91</v>
      </c>
      <c r="N788" s="244"/>
      <c r="O788" s="244"/>
      <c r="P788" s="245" t="s">
        <v>380</v>
      </c>
    </row>
    <row r="789" spans="2:16" hidden="1">
      <c r="B789" s="238" t="s">
        <v>122</v>
      </c>
      <c r="C789" s="238" t="s">
        <v>86</v>
      </c>
      <c r="D789" s="238" t="s">
        <v>247</v>
      </c>
      <c r="E789" s="238" t="s">
        <v>354</v>
      </c>
      <c r="F789" s="243" t="str">
        <f t="shared" si="27"/>
        <v>2006-07 - Alkalis</v>
      </c>
      <c r="G789" s="244"/>
      <c r="H789" s="244"/>
      <c r="I789" s="244"/>
      <c r="J789" s="244"/>
      <c r="K789" s="244"/>
      <c r="L789" s="244" t="s">
        <v>218</v>
      </c>
      <c r="M789" s="244"/>
      <c r="N789" s="244"/>
      <c r="O789" s="244"/>
      <c r="P789" s="245" t="s">
        <v>380</v>
      </c>
    </row>
    <row r="790" spans="2:16">
      <c r="B790" s="238" t="s">
        <v>122</v>
      </c>
      <c r="C790" s="238" t="s">
        <v>86</v>
      </c>
      <c r="D790" s="238" t="s">
        <v>159</v>
      </c>
      <c r="E790" s="238" t="s">
        <v>355</v>
      </c>
      <c r="F790" s="243" t="str">
        <f t="shared" si="27"/>
        <v>2006-07 - Inorganic chemicals</v>
      </c>
      <c r="G790" s="244">
        <v>21</v>
      </c>
      <c r="H790" s="244">
        <v>154.97</v>
      </c>
      <c r="I790" s="244"/>
      <c r="J790" s="244"/>
      <c r="K790" s="244"/>
      <c r="L790" s="244" t="s">
        <v>218</v>
      </c>
      <c r="M790" s="244">
        <v>0.59</v>
      </c>
      <c r="N790" s="244"/>
      <c r="O790" s="244"/>
      <c r="P790" s="245" t="s">
        <v>380</v>
      </c>
    </row>
    <row r="791" spans="2:16" hidden="1">
      <c r="B791" s="238" t="s">
        <v>122</v>
      </c>
      <c r="C791" s="238" t="s">
        <v>86</v>
      </c>
      <c r="D791" s="238" t="s">
        <v>356</v>
      </c>
      <c r="E791" s="238" t="s">
        <v>357</v>
      </c>
      <c r="F791" s="243" t="str">
        <f t="shared" si="27"/>
        <v>2006-07 - Reactive chemicals</v>
      </c>
      <c r="G791" s="244"/>
      <c r="H791" s="244"/>
      <c r="I791" s="244"/>
      <c r="J791" s="244"/>
      <c r="K791" s="244"/>
      <c r="L791" s="244" t="s">
        <v>218</v>
      </c>
      <c r="M791" s="244"/>
      <c r="N791" s="244"/>
      <c r="O791" s="244"/>
      <c r="P791" s="245" t="s">
        <v>380</v>
      </c>
    </row>
    <row r="792" spans="2:16" hidden="1">
      <c r="B792" s="238" t="s">
        <v>122</v>
      </c>
      <c r="C792" s="238" t="s">
        <v>86</v>
      </c>
      <c r="D792" s="238" t="s">
        <v>161</v>
      </c>
      <c r="E792" s="238" t="s">
        <v>358</v>
      </c>
      <c r="F792" s="243" t="str">
        <f t="shared" si="27"/>
        <v>2006-07 - Paints, resins, inks organic sludges</v>
      </c>
      <c r="G792" s="244"/>
      <c r="H792" s="244"/>
      <c r="I792" s="244"/>
      <c r="J792" s="244"/>
      <c r="K792" s="244"/>
      <c r="L792" s="244" t="s">
        <v>218</v>
      </c>
      <c r="M792" s="244"/>
      <c r="N792" s="244"/>
      <c r="O792" s="244"/>
      <c r="P792" s="245" t="s">
        <v>380</v>
      </c>
    </row>
    <row r="793" spans="2:16" hidden="1">
      <c r="B793" s="238" t="s">
        <v>122</v>
      </c>
      <c r="C793" s="238" t="s">
        <v>86</v>
      </c>
      <c r="D793" s="238" t="s">
        <v>219</v>
      </c>
      <c r="E793" s="238" t="s">
        <v>359</v>
      </c>
      <c r="F793" s="243" t="str">
        <f t="shared" si="27"/>
        <v>2006-07 - Organic solvents</v>
      </c>
      <c r="G793" s="244"/>
      <c r="H793" s="244"/>
      <c r="I793" s="244"/>
      <c r="J793" s="244"/>
      <c r="K793" s="244"/>
      <c r="L793" s="244" t="s">
        <v>218</v>
      </c>
      <c r="M793" s="244">
        <v>19.75</v>
      </c>
      <c r="N793" s="244"/>
      <c r="O793" s="244"/>
      <c r="P793" s="245" t="s">
        <v>380</v>
      </c>
    </row>
    <row r="794" spans="2:16" hidden="1">
      <c r="B794" s="238" t="s">
        <v>122</v>
      </c>
      <c r="C794" s="238" t="s">
        <v>86</v>
      </c>
      <c r="D794" s="238" t="s">
        <v>228</v>
      </c>
      <c r="E794" s="238" t="s">
        <v>360</v>
      </c>
      <c r="F794" s="243" t="str">
        <f t="shared" si="27"/>
        <v>2006-07 - Pesticides</v>
      </c>
      <c r="G794" s="244"/>
      <c r="H794" s="244"/>
      <c r="I794" s="244"/>
      <c r="J794" s="244"/>
      <c r="K794" s="244"/>
      <c r="L794" s="244" t="s">
        <v>218</v>
      </c>
      <c r="M794" s="244"/>
      <c r="N794" s="244"/>
      <c r="O794" s="244"/>
      <c r="P794" s="245" t="s">
        <v>380</v>
      </c>
    </row>
    <row r="795" spans="2:16" hidden="1">
      <c r="B795" s="238" t="s">
        <v>122</v>
      </c>
      <c r="C795" s="238" t="s">
        <v>86</v>
      </c>
      <c r="D795" s="238" t="s">
        <v>231</v>
      </c>
      <c r="E795" s="238" t="s">
        <v>361</v>
      </c>
      <c r="F795" s="243" t="str">
        <f t="shared" si="27"/>
        <v>2006-07 - Oils</v>
      </c>
      <c r="G795" s="244"/>
      <c r="H795" s="244"/>
      <c r="I795" s="244"/>
      <c r="J795" s="244"/>
      <c r="K795" s="244"/>
      <c r="L795" s="244" t="s">
        <v>218</v>
      </c>
      <c r="M795" s="244">
        <v>5.2</v>
      </c>
      <c r="N795" s="244"/>
      <c r="O795" s="244"/>
      <c r="P795" s="245" t="s">
        <v>380</v>
      </c>
    </row>
    <row r="796" spans="2:16" hidden="1">
      <c r="B796" s="238" t="s">
        <v>122</v>
      </c>
      <c r="C796" s="238" t="s">
        <v>86</v>
      </c>
      <c r="D796" s="238" t="s">
        <v>362</v>
      </c>
      <c r="E796" s="238" t="s">
        <v>363</v>
      </c>
      <c r="F796" s="243" t="str">
        <f t="shared" si="27"/>
        <v>2006-07 - Putrescible/organic waste</v>
      </c>
      <c r="G796" s="244"/>
      <c r="H796" s="244"/>
      <c r="I796" s="244"/>
      <c r="J796" s="244"/>
      <c r="K796" s="244"/>
      <c r="L796" s="244" t="s">
        <v>218</v>
      </c>
      <c r="M796" s="244">
        <v>36.64</v>
      </c>
      <c r="N796" s="244"/>
      <c r="O796" s="244"/>
      <c r="P796" s="245" t="s">
        <v>380</v>
      </c>
    </row>
    <row r="797" spans="2:16" hidden="1">
      <c r="B797" s="238" t="s">
        <v>122</v>
      </c>
      <c r="C797" s="238" t="s">
        <v>86</v>
      </c>
      <c r="D797" s="238" t="s">
        <v>364</v>
      </c>
      <c r="E797" s="238" t="s">
        <v>365</v>
      </c>
      <c r="F797" s="243" t="str">
        <f t="shared" si="27"/>
        <v>2006-07 - Industrial washwater</v>
      </c>
      <c r="G797" s="244"/>
      <c r="H797" s="244"/>
      <c r="I797" s="244"/>
      <c r="J797" s="244"/>
      <c r="K797" s="244"/>
      <c r="L797" s="244" t="s">
        <v>218</v>
      </c>
      <c r="M797" s="244"/>
      <c r="N797" s="244"/>
      <c r="O797" s="244"/>
      <c r="P797" s="245" t="s">
        <v>380</v>
      </c>
    </row>
    <row r="798" spans="2:16" hidden="1">
      <c r="B798" s="238" t="s">
        <v>122</v>
      </c>
      <c r="C798" s="238" t="s">
        <v>86</v>
      </c>
      <c r="D798" s="238" t="s">
        <v>235</v>
      </c>
      <c r="E798" s="238" t="s">
        <v>366</v>
      </c>
      <c r="F798" s="243" t="str">
        <f t="shared" si="27"/>
        <v>2006-07 - Organic chemicals</v>
      </c>
      <c r="G798" s="244"/>
      <c r="H798" s="244"/>
      <c r="I798" s="244"/>
      <c r="J798" s="244"/>
      <c r="K798" s="244"/>
      <c r="L798" s="244" t="s">
        <v>218</v>
      </c>
      <c r="M798" s="244"/>
      <c r="N798" s="244"/>
      <c r="O798" s="244"/>
      <c r="P798" s="245" t="s">
        <v>380</v>
      </c>
    </row>
    <row r="799" spans="2:16" hidden="1">
      <c r="B799" s="238" t="s">
        <v>122</v>
      </c>
      <c r="C799" s="238" t="s">
        <v>86</v>
      </c>
      <c r="D799" s="238" t="s">
        <v>367</v>
      </c>
      <c r="E799" s="238" t="s">
        <v>368</v>
      </c>
      <c r="F799" s="243" t="str">
        <f t="shared" si="27"/>
        <v>2006-07 - Soil/sludge</v>
      </c>
      <c r="G799" s="244"/>
      <c r="H799" s="244"/>
      <c r="I799" s="244"/>
      <c r="J799" s="244"/>
      <c r="K799" s="244"/>
      <c r="L799" s="244" t="s">
        <v>218</v>
      </c>
      <c r="M799" s="244">
        <v>53.74</v>
      </c>
      <c r="N799" s="244"/>
      <c r="O799" s="244"/>
      <c r="P799" s="245" t="s">
        <v>380</v>
      </c>
    </row>
    <row r="800" spans="2:16" hidden="1">
      <c r="B800" s="238" t="s">
        <v>122</v>
      </c>
      <c r="C800" s="238" t="s">
        <v>86</v>
      </c>
      <c r="D800" s="238" t="s">
        <v>216</v>
      </c>
      <c r="E800" s="238" t="s">
        <v>369</v>
      </c>
      <c r="F800" s="243" t="str">
        <f t="shared" si="27"/>
        <v>2006-07 - Clinical &amp; pharmaceutical</v>
      </c>
      <c r="G800" s="244"/>
      <c r="H800" s="244"/>
      <c r="I800" s="244"/>
      <c r="J800" s="244"/>
      <c r="K800" s="244"/>
      <c r="L800" s="244" t="s">
        <v>218</v>
      </c>
      <c r="M800" s="244"/>
      <c r="N800" s="244"/>
      <c r="O800" s="244"/>
      <c r="P800" s="245" t="s">
        <v>380</v>
      </c>
    </row>
    <row r="801" spans="2:16" hidden="1">
      <c r="B801" s="238" t="s">
        <v>122</v>
      </c>
      <c r="C801" s="238" t="s">
        <v>86</v>
      </c>
      <c r="D801" s="238" t="s">
        <v>370</v>
      </c>
      <c r="E801" s="238" t="s">
        <v>371</v>
      </c>
      <c r="F801" s="243" t="str">
        <f t="shared" si="27"/>
        <v>2006-07 - Misc.</v>
      </c>
      <c r="G801" s="244"/>
      <c r="H801" s="244"/>
      <c r="I801" s="244"/>
      <c r="J801" s="244"/>
      <c r="K801" s="244"/>
      <c r="L801" s="244" t="s">
        <v>218</v>
      </c>
      <c r="M801" s="244">
        <v>0.28000000000000003</v>
      </c>
      <c r="N801" s="244"/>
      <c r="O801" s="244"/>
      <c r="P801" s="245" t="s">
        <v>380</v>
      </c>
    </row>
    <row r="802" spans="2:16" hidden="1">
      <c r="B802" s="238" t="s">
        <v>72</v>
      </c>
      <c r="C802" s="238" t="s">
        <v>78</v>
      </c>
      <c r="D802" s="238" t="s">
        <v>157</v>
      </c>
      <c r="E802" s="238" t="s">
        <v>352</v>
      </c>
      <c r="F802" s="243" t="str">
        <f t="shared" si="27"/>
        <v>2012-13 - Plating &amp; heat treatment</v>
      </c>
      <c r="G802" s="244">
        <v>0</v>
      </c>
      <c r="H802" s="244">
        <v>0</v>
      </c>
      <c r="I802" s="244">
        <v>0</v>
      </c>
      <c r="J802" s="244">
        <v>0</v>
      </c>
      <c r="K802" s="244">
        <v>0</v>
      </c>
      <c r="L802" s="244">
        <v>0</v>
      </c>
      <c r="M802" s="244" t="s">
        <v>218</v>
      </c>
      <c r="N802" s="244">
        <v>0</v>
      </c>
      <c r="O802" s="244">
        <v>0</v>
      </c>
      <c r="P802" s="245"/>
    </row>
    <row r="803" spans="2:16" hidden="1">
      <c r="B803" s="238" t="s">
        <v>72</v>
      </c>
      <c r="C803" s="238" t="s">
        <v>78</v>
      </c>
      <c r="D803" s="238" t="s">
        <v>186</v>
      </c>
      <c r="E803" s="238" t="s">
        <v>353</v>
      </c>
      <c r="F803" s="243" t="str">
        <f t="shared" si="27"/>
        <v>2012-13 - Acids</v>
      </c>
      <c r="G803" s="244">
        <v>0</v>
      </c>
      <c r="H803" s="244">
        <v>0</v>
      </c>
      <c r="I803" s="244">
        <v>0</v>
      </c>
      <c r="J803" s="244">
        <v>0</v>
      </c>
      <c r="K803" s="244">
        <v>0</v>
      </c>
      <c r="L803" s="244">
        <v>0</v>
      </c>
      <c r="M803" s="244" t="s">
        <v>218</v>
      </c>
      <c r="N803" s="244">
        <v>0</v>
      </c>
      <c r="O803" s="244">
        <v>0</v>
      </c>
      <c r="P803" s="245"/>
    </row>
    <row r="804" spans="2:16" hidden="1">
      <c r="B804" s="238" t="s">
        <v>72</v>
      </c>
      <c r="C804" s="238" t="s">
        <v>78</v>
      </c>
      <c r="D804" s="238" t="s">
        <v>247</v>
      </c>
      <c r="E804" s="238" t="s">
        <v>354</v>
      </c>
      <c r="F804" s="243" t="str">
        <f t="shared" si="27"/>
        <v>2012-13 - Alkalis</v>
      </c>
      <c r="G804" s="244">
        <v>0</v>
      </c>
      <c r="H804" s="244">
        <v>0</v>
      </c>
      <c r="I804" s="244">
        <v>0</v>
      </c>
      <c r="J804" s="244">
        <v>0</v>
      </c>
      <c r="K804" s="244">
        <v>0</v>
      </c>
      <c r="L804" s="244">
        <v>0</v>
      </c>
      <c r="M804" s="244" t="s">
        <v>218</v>
      </c>
      <c r="N804" s="244">
        <v>0</v>
      </c>
      <c r="O804" s="244">
        <v>0</v>
      </c>
      <c r="P804" s="245"/>
    </row>
    <row r="805" spans="2:16">
      <c r="B805" s="238" t="s">
        <v>72</v>
      </c>
      <c r="C805" s="238" t="s">
        <v>78</v>
      </c>
      <c r="D805" s="238" t="s">
        <v>159</v>
      </c>
      <c r="E805" s="238" t="s">
        <v>355</v>
      </c>
      <c r="F805" s="243" t="str">
        <f t="shared" si="27"/>
        <v>2012-13 - Inorganic chemicals</v>
      </c>
      <c r="G805" s="244">
        <v>0</v>
      </c>
      <c r="H805" s="244">
        <v>0</v>
      </c>
      <c r="I805" s="244">
        <v>0</v>
      </c>
      <c r="J805" s="244">
        <v>0</v>
      </c>
      <c r="K805" s="244">
        <v>0</v>
      </c>
      <c r="L805" s="244">
        <v>0</v>
      </c>
      <c r="M805" s="244" t="s">
        <v>218</v>
      </c>
      <c r="N805" s="244">
        <v>0</v>
      </c>
      <c r="O805" s="244">
        <v>0</v>
      </c>
      <c r="P805" s="245"/>
    </row>
    <row r="806" spans="2:16" hidden="1">
      <c r="B806" s="238" t="s">
        <v>72</v>
      </c>
      <c r="C806" s="238" t="s">
        <v>78</v>
      </c>
      <c r="D806" s="238" t="s">
        <v>356</v>
      </c>
      <c r="E806" s="238" t="s">
        <v>357</v>
      </c>
      <c r="F806" s="243" t="str">
        <f t="shared" si="27"/>
        <v>2012-13 - Reactive chemicals</v>
      </c>
      <c r="G806" s="244">
        <v>0</v>
      </c>
      <c r="H806" s="244">
        <v>0</v>
      </c>
      <c r="I806" s="244">
        <v>0</v>
      </c>
      <c r="J806" s="244">
        <v>0</v>
      </c>
      <c r="K806" s="244">
        <v>0</v>
      </c>
      <c r="L806" s="244">
        <v>0</v>
      </c>
      <c r="M806" s="244" t="s">
        <v>218</v>
      </c>
      <c r="N806" s="244">
        <v>0</v>
      </c>
      <c r="O806" s="244">
        <v>0</v>
      </c>
      <c r="P806" s="245"/>
    </row>
    <row r="807" spans="2:16" hidden="1">
      <c r="B807" s="238" t="s">
        <v>72</v>
      </c>
      <c r="C807" s="238" t="s">
        <v>78</v>
      </c>
      <c r="D807" s="238" t="s">
        <v>161</v>
      </c>
      <c r="E807" s="238" t="s">
        <v>358</v>
      </c>
      <c r="F807" s="243" t="str">
        <f t="shared" si="27"/>
        <v>2012-13 - Paints, resins, inks organic sludges</v>
      </c>
      <c r="G807" s="244">
        <v>0</v>
      </c>
      <c r="H807" s="244">
        <v>0</v>
      </c>
      <c r="I807" s="244">
        <v>0</v>
      </c>
      <c r="J807" s="244">
        <v>0</v>
      </c>
      <c r="K807" s="244">
        <v>0</v>
      </c>
      <c r="L807" s="244">
        <v>0</v>
      </c>
      <c r="M807" s="244" t="s">
        <v>218</v>
      </c>
      <c r="N807" s="244">
        <v>0</v>
      </c>
      <c r="O807" s="244">
        <v>0</v>
      </c>
      <c r="P807" s="245"/>
    </row>
    <row r="808" spans="2:16" hidden="1">
      <c r="B808" s="238" t="s">
        <v>72</v>
      </c>
      <c r="C808" s="238" t="s">
        <v>78</v>
      </c>
      <c r="D808" s="238" t="s">
        <v>219</v>
      </c>
      <c r="E808" s="238" t="s">
        <v>359</v>
      </c>
      <c r="F808" s="243" t="str">
        <f t="shared" si="27"/>
        <v>2012-13 - Organic solvents</v>
      </c>
      <c r="G808" s="244">
        <v>0</v>
      </c>
      <c r="H808" s="244">
        <v>0</v>
      </c>
      <c r="I808" s="244">
        <v>0</v>
      </c>
      <c r="J808" s="244">
        <v>0</v>
      </c>
      <c r="K808" s="244">
        <v>0</v>
      </c>
      <c r="L808" s="244">
        <v>0</v>
      </c>
      <c r="M808" s="244" t="s">
        <v>218</v>
      </c>
      <c r="N808" s="244">
        <v>0</v>
      </c>
      <c r="O808" s="244">
        <v>0</v>
      </c>
      <c r="P808" s="245"/>
    </row>
    <row r="809" spans="2:16" hidden="1">
      <c r="B809" s="238" t="s">
        <v>72</v>
      </c>
      <c r="C809" s="238" t="s">
        <v>78</v>
      </c>
      <c r="D809" s="238" t="s">
        <v>228</v>
      </c>
      <c r="E809" s="238" t="s">
        <v>360</v>
      </c>
      <c r="F809" s="243" t="str">
        <f t="shared" si="27"/>
        <v>2012-13 - Pesticides</v>
      </c>
      <c r="G809" s="244">
        <v>0</v>
      </c>
      <c r="H809" s="244">
        <v>0</v>
      </c>
      <c r="I809" s="244">
        <v>0</v>
      </c>
      <c r="J809" s="244">
        <v>0</v>
      </c>
      <c r="K809" s="244">
        <v>0</v>
      </c>
      <c r="L809" s="244">
        <v>0</v>
      </c>
      <c r="M809" s="244" t="s">
        <v>218</v>
      </c>
      <c r="N809" s="244">
        <v>0</v>
      </c>
      <c r="O809" s="244">
        <v>0</v>
      </c>
      <c r="P809" s="245"/>
    </row>
    <row r="810" spans="2:16" hidden="1">
      <c r="B810" s="238" t="s">
        <v>72</v>
      </c>
      <c r="C810" s="238" t="s">
        <v>78</v>
      </c>
      <c r="D810" s="238" t="s">
        <v>231</v>
      </c>
      <c r="E810" s="238" t="s">
        <v>361</v>
      </c>
      <c r="F810" s="243" t="str">
        <f t="shared" si="27"/>
        <v>2012-13 - Oils</v>
      </c>
      <c r="G810" s="244">
        <v>151</v>
      </c>
      <c r="H810" s="244">
        <v>38</v>
      </c>
      <c r="I810" s="244">
        <v>132</v>
      </c>
      <c r="J810" s="244">
        <v>0</v>
      </c>
      <c r="K810" s="244">
        <v>0</v>
      </c>
      <c r="L810" s="244">
        <v>0</v>
      </c>
      <c r="M810" s="244" t="s">
        <v>218</v>
      </c>
      <c r="N810" s="244">
        <v>0</v>
      </c>
      <c r="O810" s="244">
        <v>0</v>
      </c>
      <c r="P810" s="245"/>
    </row>
    <row r="811" spans="2:16" hidden="1">
      <c r="B811" s="238" t="s">
        <v>72</v>
      </c>
      <c r="C811" s="238" t="s">
        <v>78</v>
      </c>
      <c r="D811" s="238" t="s">
        <v>362</v>
      </c>
      <c r="E811" s="238" t="s">
        <v>363</v>
      </c>
      <c r="F811" s="243" t="str">
        <f t="shared" si="27"/>
        <v>2012-13 - Putrescible/organic waste</v>
      </c>
      <c r="G811" s="244">
        <v>0</v>
      </c>
      <c r="H811" s="244">
        <v>0</v>
      </c>
      <c r="I811" s="244">
        <v>0</v>
      </c>
      <c r="J811" s="244">
        <v>0</v>
      </c>
      <c r="K811" s="244">
        <v>0</v>
      </c>
      <c r="L811" s="244">
        <v>0</v>
      </c>
      <c r="M811" s="244" t="s">
        <v>218</v>
      </c>
      <c r="N811" s="244">
        <v>0</v>
      </c>
      <c r="O811" s="244">
        <v>0</v>
      </c>
      <c r="P811" s="245"/>
    </row>
    <row r="812" spans="2:16" hidden="1">
      <c r="B812" s="238" t="s">
        <v>72</v>
      </c>
      <c r="C812" s="238" t="s">
        <v>78</v>
      </c>
      <c r="D812" s="238" t="s">
        <v>364</v>
      </c>
      <c r="E812" s="238" t="s">
        <v>365</v>
      </c>
      <c r="F812" s="243" t="str">
        <f t="shared" ref="F812:F875" si="28">CONCATENATE(C812," - ",E812)</f>
        <v>2012-13 - Industrial washwater</v>
      </c>
      <c r="G812" s="244">
        <v>0</v>
      </c>
      <c r="H812" s="244">
        <v>0</v>
      </c>
      <c r="I812" s="244">
        <v>0</v>
      </c>
      <c r="J812" s="244">
        <v>0</v>
      </c>
      <c r="K812" s="244">
        <v>0</v>
      </c>
      <c r="L812" s="244">
        <v>0</v>
      </c>
      <c r="M812" s="244" t="s">
        <v>218</v>
      </c>
      <c r="N812" s="244">
        <v>0</v>
      </c>
      <c r="O812" s="244">
        <v>0</v>
      </c>
      <c r="P812" s="245"/>
    </row>
    <row r="813" spans="2:16" hidden="1">
      <c r="B813" s="238" t="s">
        <v>72</v>
      </c>
      <c r="C813" s="238" t="s">
        <v>78</v>
      </c>
      <c r="D813" s="238" t="s">
        <v>235</v>
      </c>
      <c r="E813" s="238" t="s">
        <v>366</v>
      </c>
      <c r="F813" s="243" t="str">
        <f t="shared" si="28"/>
        <v>2012-13 - Organic chemicals</v>
      </c>
      <c r="G813" s="244">
        <v>0</v>
      </c>
      <c r="H813" s="244">
        <v>0</v>
      </c>
      <c r="I813" s="244">
        <v>0</v>
      </c>
      <c r="J813" s="244">
        <v>0</v>
      </c>
      <c r="K813" s="244">
        <v>0</v>
      </c>
      <c r="L813" s="244">
        <v>0</v>
      </c>
      <c r="M813" s="244" t="s">
        <v>218</v>
      </c>
      <c r="N813" s="244">
        <v>0</v>
      </c>
      <c r="O813" s="244">
        <v>0</v>
      </c>
      <c r="P813" s="245"/>
    </row>
    <row r="814" spans="2:16" hidden="1">
      <c r="B814" s="238" t="s">
        <v>72</v>
      </c>
      <c r="C814" s="238" t="s">
        <v>78</v>
      </c>
      <c r="D814" s="238" t="s">
        <v>367</v>
      </c>
      <c r="E814" s="238" t="s">
        <v>368</v>
      </c>
      <c r="F814" s="243" t="str">
        <f t="shared" si="28"/>
        <v>2012-13 - Soil/sludge</v>
      </c>
      <c r="G814" s="244">
        <v>50</v>
      </c>
      <c r="H814" s="244">
        <v>0</v>
      </c>
      <c r="I814" s="244">
        <v>0</v>
      </c>
      <c r="J814" s="244">
        <v>0</v>
      </c>
      <c r="K814" s="244">
        <v>0</v>
      </c>
      <c r="L814" s="244">
        <v>0</v>
      </c>
      <c r="M814" s="244" t="s">
        <v>218</v>
      </c>
      <c r="N814" s="244">
        <v>0</v>
      </c>
      <c r="O814" s="244">
        <v>0</v>
      </c>
      <c r="P814" s="245"/>
    </row>
    <row r="815" spans="2:16" hidden="1">
      <c r="B815" s="238" t="s">
        <v>72</v>
      </c>
      <c r="C815" s="238" t="s">
        <v>78</v>
      </c>
      <c r="D815" s="238" t="s">
        <v>216</v>
      </c>
      <c r="E815" s="238" t="s">
        <v>369</v>
      </c>
      <c r="F815" s="243" t="str">
        <f t="shared" si="28"/>
        <v>2012-13 - Clinical &amp; pharmaceutical</v>
      </c>
      <c r="G815" s="244">
        <v>217</v>
      </c>
      <c r="H815" s="244">
        <v>0</v>
      </c>
      <c r="I815" s="244">
        <v>0</v>
      </c>
      <c r="J815" s="244">
        <v>0</v>
      </c>
      <c r="K815" s="244">
        <v>0</v>
      </c>
      <c r="L815" s="244">
        <v>0</v>
      </c>
      <c r="M815" s="244" t="s">
        <v>218</v>
      </c>
      <c r="N815" s="244">
        <v>0</v>
      </c>
      <c r="O815" s="244">
        <v>0</v>
      </c>
      <c r="P815" s="245"/>
    </row>
    <row r="816" spans="2:16" hidden="1">
      <c r="B816" s="238" t="s">
        <v>72</v>
      </c>
      <c r="C816" s="238" t="s">
        <v>78</v>
      </c>
      <c r="D816" s="238" t="s">
        <v>370</v>
      </c>
      <c r="E816" s="238" t="s">
        <v>371</v>
      </c>
      <c r="F816" s="243" t="str">
        <f t="shared" si="28"/>
        <v>2012-13 - Misc.</v>
      </c>
      <c r="G816" s="244">
        <v>0</v>
      </c>
      <c r="H816" s="244">
        <v>0</v>
      </c>
      <c r="I816" s="244">
        <v>0</v>
      </c>
      <c r="J816" s="244">
        <v>0</v>
      </c>
      <c r="K816" s="244">
        <v>0</v>
      </c>
      <c r="L816" s="244">
        <v>0</v>
      </c>
      <c r="M816" s="244" t="s">
        <v>218</v>
      </c>
      <c r="N816" s="244">
        <v>0</v>
      </c>
      <c r="O816" s="244">
        <v>0</v>
      </c>
      <c r="P816" s="245"/>
    </row>
    <row r="817" spans="2:16" hidden="1">
      <c r="B817" s="238" t="s">
        <v>72</v>
      </c>
      <c r="C817" s="238" t="s">
        <v>79</v>
      </c>
      <c r="D817" s="238" t="s">
        <v>157</v>
      </c>
      <c r="E817" s="238" t="s">
        <v>352</v>
      </c>
      <c r="F817" s="243" t="str">
        <f t="shared" si="28"/>
        <v>2011-12 - Plating &amp; heat treatment</v>
      </c>
      <c r="G817" s="244" t="s">
        <v>381</v>
      </c>
      <c r="H817" s="244" t="s">
        <v>381</v>
      </c>
      <c r="I817" s="244" t="s">
        <v>381</v>
      </c>
      <c r="J817" s="244" t="s">
        <v>381</v>
      </c>
      <c r="K817" s="244" t="s">
        <v>381</v>
      </c>
      <c r="L817" s="244" t="s">
        <v>381</v>
      </c>
      <c r="M817" s="244" t="s">
        <v>218</v>
      </c>
      <c r="N817" s="244" t="s">
        <v>381</v>
      </c>
      <c r="O817" s="244" t="s">
        <v>381</v>
      </c>
      <c r="P817" s="245"/>
    </row>
    <row r="818" spans="2:16" hidden="1">
      <c r="B818" s="238" t="s">
        <v>72</v>
      </c>
      <c r="C818" s="238" t="s">
        <v>79</v>
      </c>
      <c r="D818" s="238" t="s">
        <v>186</v>
      </c>
      <c r="E818" s="238" t="s">
        <v>353</v>
      </c>
      <c r="F818" s="243" t="str">
        <f t="shared" si="28"/>
        <v>2011-12 - Acids</v>
      </c>
      <c r="G818" s="244" t="s">
        <v>381</v>
      </c>
      <c r="H818" s="244" t="s">
        <v>381</v>
      </c>
      <c r="I818" s="244" t="s">
        <v>381</v>
      </c>
      <c r="J818" s="244" t="s">
        <v>381</v>
      </c>
      <c r="K818" s="244" t="s">
        <v>381</v>
      </c>
      <c r="L818" s="244" t="s">
        <v>381</v>
      </c>
      <c r="M818" s="244" t="s">
        <v>218</v>
      </c>
      <c r="N818" s="244" t="s">
        <v>381</v>
      </c>
      <c r="O818" s="244" t="s">
        <v>381</v>
      </c>
      <c r="P818" s="245"/>
    </row>
    <row r="819" spans="2:16" hidden="1">
      <c r="B819" s="238" t="s">
        <v>72</v>
      </c>
      <c r="C819" s="238" t="s">
        <v>79</v>
      </c>
      <c r="D819" s="238" t="s">
        <v>247</v>
      </c>
      <c r="E819" s="238" t="s">
        <v>354</v>
      </c>
      <c r="F819" s="243" t="str">
        <f t="shared" si="28"/>
        <v>2011-12 - Alkalis</v>
      </c>
      <c r="G819" s="244" t="s">
        <v>381</v>
      </c>
      <c r="H819" s="244" t="s">
        <v>381</v>
      </c>
      <c r="I819" s="244" t="s">
        <v>381</v>
      </c>
      <c r="J819" s="244" t="s">
        <v>381</v>
      </c>
      <c r="K819" s="244" t="s">
        <v>381</v>
      </c>
      <c r="L819" s="244" t="s">
        <v>381</v>
      </c>
      <c r="M819" s="244" t="s">
        <v>218</v>
      </c>
      <c r="N819" s="244" t="s">
        <v>381</v>
      </c>
      <c r="O819" s="244" t="s">
        <v>381</v>
      </c>
      <c r="P819" s="245"/>
    </row>
    <row r="820" spans="2:16">
      <c r="B820" s="238" t="s">
        <v>72</v>
      </c>
      <c r="C820" s="238" t="s">
        <v>79</v>
      </c>
      <c r="D820" s="238" t="s">
        <v>159</v>
      </c>
      <c r="E820" s="238" t="s">
        <v>355</v>
      </c>
      <c r="F820" s="243" t="str">
        <f t="shared" si="28"/>
        <v>2011-12 - Inorganic chemicals</v>
      </c>
      <c r="G820" s="244" t="s">
        <v>381</v>
      </c>
      <c r="H820" s="244" t="s">
        <v>381</v>
      </c>
      <c r="I820" s="244" t="s">
        <v>381</v>
      </c>
      <c r="J820" s="244" t="s">
        <v>381</v>
      </c>
      <c r="K820" s="244" t="s">
        <v>381</v>
      </c>
      <c r="L820" s="244" t="s">
        <v>381</v>
      </c>
      <c r="M820" s="244" t="s">
        <v>218</v>
      </c>
      <c r="N820" s="244" t="s">
        <v>381</v>
      </c>
      <c r="O820" s="244" t="s">
        <v>381</v>
      </c>
      <c r="P820" s="245"/>
    </row>
    <row r="821" spans="2:16" hidden="1">
      <c r="B821" s="238" t="s">
        <v>72</v>
      </c>
      <c r="C821" s="238" t="s">
        <v>79</v>
      </c>
      <c r="D821" s="238" t="s">
        <v>356</v>
      </c>
      <c r="E821" s="238" t="s">
        <v>357</v>
      </c>
      <c r="F821" s="243" t="str">
        <f t="shared" si="28"/>
        <v>2011-12 - Reactive chemicals</v>
      </c>
      <c r="G821" s="244" t="s">
        <v>381</v>
      </c>
      <c r="H821" s="244" t="s">
        <v>381</v>
      </c>
      <c r="I821" s="244" t="s">
        <v>381</v>
      </c>
      <c r="J821" s="244" t="s">
        <v>381</v>
      </c>
      <c r="K821" s="244" t="s">
        <v>381</v>
      </c>
      <c r="L821" s="244" t="s">
        <v>381</v>
      </c>
      <c r="M821" s="244" t="s">
        <v>218</v>
      </c>
      <c r="N821" s="244" t="s">
        <v>381</v>
      </c>
      <c r="O821" s="244" t="s">
        <v>381</v>
      </c>
      <c r="P821" s="245"/>
    </row>
    <row r="822" spans="2:16" hidden="1">
      <c r="B822" s="238" t="s">
        <v>72</v>
      </c>
      <c r="C822" s="238" t="s">
        <v>79</v>
      </c>
      <c r="D822" s="238" t="s">
        <v>161</v>
      </c>
      <c r="E822" s="238" t="s">
        <v>358</v>
      </c>
      <c r="F822" s="243" t="str">
        <f t="shared" si="28"/>
        <v>2011-12 - Paints, resins, inks organic sludges</v>
      </c>
      <c r="G822" s="244" t="s">
        <v>381</v>
      </c>
      <c r="H822" s="244" t="s">
        <v>381</v>
      </c>
      <c r="I822" s="244" t="s">
        <v>381</v>
      </c>
      <c r="J822" s="244" t="s">
        <v>381</v>
      </c>
      <c r="K822" s="244" t="s">
        <v>381</v>
      </c>
      <c r="L822" s="244" t="s">
        <v>381</v>
      </c>
      <c r="M822" s="244" t="s">
        <v>218</v>
      </c>
      <c r="N822" s="244" t="s">
        <v>381</v>
      </c>
      <c r="O822" s="244" t="s">
        <v>381</v>
      </c>
      <c r="P822" s="245"/>
    </row>
    <row r="823" spans="2:16" hidden="1">
      <c r="B823" s="238" t="s">
        <v>72</v>
      </c>
      <c r="C823" s="238" t="s">
        <v>79</v>
      </c>
      <c r="D823" s="238" t="s">
        <v>219</v>
      </c>
      <c r="E823" s="238" t="s">
        <v>359</v>
      </c>
      <c r="F823" s="243" t="str">
        <f t="shared" si="28"/>
        <v>2011-12 - Organic solvents</v>
      </c>
      <c r="G823" s="244" t="s">
        <v>381</v>
      </c>
      <c r="H823" s="244" t="s">
        <v>381</v>
      </c>
      <c r="I823" s="244" t="s">
        <v>381</v>
      </c>
      <c r="J823" s="244" t="s">
        <v>381</v>
      </c>
      <c r="K823" s="244" t="s">
        <v>381</v>
      </c>
      <c r="L823" s="244" t="s">
        <v>381</v>
      </c>
      <c r="M823" s="244" t="s">
        <v>218</v>
      </c>
      <c r="N823" s="244" t="s">
        <v>381</v>
      </c>
      <c r="O823" s="244" t="s">
        <v>381</v>
      </c>
      <c r="P823" s="245"/>
    </row>
    <row r="824" spans="2:16" hidden="1">
      <c r="B824" s="238" t="s">
        <v>72</v>
      </c>
      <c r="C824" s="238" t="s">
        <v>79</v>
      </c>
      <c r="D824" s="238" t="s">
        <v>228</v>
      </c>
      <c r="E824" s="238" t="s">
        <v>360</v>
      </c>
      <c r="F824" s="243" t="str">
        <f t="shared" si="28"/>
        <v>2011-12 - Pesticides</v>
      </c>
      <c r="G824" s="244" t="s">
        <v>381</v>
      </c>
      <c r="H824" s="244" t="s">
        <v>381</v>
      </c>
      <c r="I824" s="244" t="s">
        <v>381</v>
      </c>
      <c r="J824" s="244" t="s">
        <v>381</v>
      </c>
      <c r="K824" s="244" t="s">
        <v>381</v>
      </c>
      <c r="L824" s="244" t="s">
        <v>381</v>
      </c>
      <c r="M824" s="244" t="s">
        <v>218</v>
      </c>
      <c r="N824" s="244" t="s">
        <v>381</v>
      </c>
      <c r="O824" s="244" t="s">
        <v>381</v>
      </c>
      <c r="P824" s="245"/>
    </row>
    <row r="825" spans="2:16" hidden="1">
      <c r="B825" s="238" t="s">
        <v>72</v>
      </c>
      <c r="C825" s="238" t="s">
        <v>79</v>
      </c>
      <c r="D825" s="238" t="s">
        <v>231</v>
      </c>
      <c r="E825" s="238" t="s">
        <v>361</v>
      </c>
      <c r="F825" s="243" t="str">
        <f t="shared" si="28"/>
        <v>2011-12 - Oils</v>
      </c>
      <c r="G825" s="244">
        <v>23.5</v>
      </c>
      <c r="H825" s="244">
        <v>39.4</v>
      </c>
      <c r="I825" s="244">
        <v>19.399999999999999</v>
      </c>
      <c r="J825" s="244" t="s">
        <v>381</v>
      </c>
      <c r="K825" s="244" t="s">
        <v>381</v>
      </c>
      <c r="L825" s="244" t="s">
        <v>381</v>
      </c>
      <c r="M825" s="244" t="s">
        <v>218</v>
      </c>
      <c r="N825" s="244" t="s">
        <v>381</v>
      </c>
      <c r="O825" s="244" t="s">
        <v>381</v>
      </c>
      <c r="P825" s="245"/>
    </row>
    <row r="826" spans="2:16" hidden="1">
      <c r="B826" s="238" t="s">
        <v>72</v>
      </c>
      <c r="C826" s="238" t="s">
        <v>79</v>
      </c>
      <c r="D826" s="238" t="s">
        <v>362</v>
      </c>
      <c r="E826" s="238" t="s">
        <v>363</v>
      </c>
      <c r="F826" s="243" t="str">
        <f t="shared" si="28"/>
        <v>2011-12 - Putrescible/organic waste</v>
      </c>
      <c r="G826" s="244" t="s">
        <v>381</v>
      </c>
      <c r="H826" s="244" t="s">
        <v>381</v>
      </c>
      <c r="I826" s="244" t="s">
        <v>381</v>
      </c>
      <c r="J826" s="244" t="s">
        <v>381</v>
      </c>
      <c r="K826" s="244" t="s">
        <v>381</v>
      </c>
      <c r="L826" s="244" t="s">
        <v>381</v>
      </c>
      <c r="M826" s="244" t="s">
        <v>218</v>
      </c>
      <c r="N826" s="244" t="s">
        <v>381</v>
      </c>
      <c r="O826" s="244" t="s">
        <v>381</v>
      </c>
      <c r="P826" s="245"/>
    </row>
    <row r="827" spans="2:16" hidden="1">
      <c r="B827" s="238" t="s">
        <v>72</v>
      </c>
      <c r="C827" s="238" t="s">
        <v>79</v>
      </c>
      <c r="D827" s="238" t="s">
        <v>364</v>
      </c>
      <c r="E827" s="238" t="s">
        <v>365</v>
      </c>
      <c r="F827" s="243" t="str">
        <f t="shared" si="28"/>
        <v>2011-12 - Industrial washwater</v>
      </c>
      <c r="G827" s="244" t="s">
        <v>381</v>
      </c>
      <c r="H827" s="244" t="s">
        <v>381</v>
      </c>
      <c r="I827" s="244" t="s">
        <v>381</v>
      </c>
      <c r="J827" s="244" t="s">
        <v>381</v>
      </c>
      <c r="K827" s="244" t="s">
        <v>381</v>
      </c>
      <c r="L827" s="244" t="s">
        <v>381</v>
      </c>
      <c r="M827" s="244" t="s">
        <v>218</v>
      </c>
      <c r="N827" s="244" t="s">
        <v>381</v>
      </c>
      <c r="O827" s="244" t="s">
        <v>381</v>
      </c>
      <c r="P827" s="245"/>
    </row>
    <row r="828" spans="2:16" hidden="1">
      <c r="B828" s="238" t="s">
        <v>72</v>
      </c>
      <c r="C828" s="238" t="s">
        <v>79</v>
      </c>
      <c r="D828" s="238" t="s">
        <v>235</v>
      </c>
      <c r="E828" s="238" t="s">
        <v>366</v>
      </c>
      <c r="F828" s="243" t="str">
        <f t="shared" si="28"/>
        <v>2011-12 - Organic chemicals</v>
      </c>
      <c r="G828" s="244">
        <v>107.34</v>
      </c>
      <c r="H828" s="244">
        <v>1.56</v>
      </c>
      <c r="I828" s="244">
        <v>1.5</v>
      </c>
      <c r="J828" s="244" t="s">
        <v>381</v>
      </c>
      <c r="K828" s="244" t="s">
        <v>381</v>
      </c>
      <c r="L828" s="244" t="s">
        <v>381</v>
      </c>
      <c r="M828" s="244" t="s">
        <v>218</v>
      </c>
      <c r="N828" s="244" t="s">
        <v>381</v>
      </c>
      <c r="O828" s="244" t="s">
        <v>381</v>
      </c>
      <c r="P828" s="245"/>
    </row>
    <row r="829" spans="2:16" hidden="1">
      <c r="B829" s="238" t="s">
        <v>72</v>
      </c>
      <c r="C829" s="238" t="s">
        <v>79</v>
      </c>
      <c r="D829" s="238" t="s">
        <v>367</v>
      </c>
      <c r="E829" s="238" t="s">
        <v>368</v>
      </c>
      <c r="F829" s="243" t="str">
        <f t="shared" si="28"/>
        <v>2011-12 - Soil/sludge</v>
      </c>
      <c r="G829" s="244">
        <v>50.05</v>
      </c>
      <c r="H829" s="244" t="s">
        <v>381</v>
      </c>
      <c r="I829" s="244" t="s">
        <v>381</v>
      </c>
      <c r="J829" s="244" t="s">
        <v>381</v>
      </c>
      <c r="K829" s="244" t="s">
        <v>381</v>
      </c>
      <c r="L829" s="244" t="s">
        <v>381</v>
      </c>
      <c r="M829" s="244" t="s">
        <v>218</v>
      </c>
      <c r="N829" s="244" t="s">
        <v>381</v>
      </c>
      <c r="O829" s="244" t="s">
        <v>381</v>
      </c>
      <c r="P829" s="245"/>
    </row>
    <row r="830" spans="2:16" hidden="1">
      <c r="B830" s="238" t="s">
        <v>72</v>
      </c>
      <c r="C830" s="238" t="s">
        <v>79</v>
      </c>
      <c r="D830" s="238" t="s">
        <v>216</v>
      </c>
      <c r="E830" s="238" t="s">
        <v>369</v>
      </c>
      <c r="F830" s="243" t="str">
        <f t="shared" si="28"/>
        <v>2011-12 - Clinical &amp; pharmaceutical</v>
      </c>
      <c r="G830" s="244">
        <v>207.7</v>
      </c>
      <c r="H830" s="244" t="s">
        <v>381</v>
      </c>
      <c r="I830" s="244" t="s">
        <v>381</v>
      </c>
      <c r="J830" s="244" t="s">
        <v>381</v>
      </c>
      <c r="K830" s="244" t="s">
        <v>381</v>
      </c>
      <c r="L830" s="244" t="s">
        <v>381</v>
      </c>
      <c r="M830" s="244" t="s">
        <v>218</v>
      </c>
      <c r="N830" s="244" t="s">
        <v>381</v>
      </c>
      <c r="O830" s="244" t="s">
        <v>381</v>
      </c>
      <c r="P830" s="245"/>
    </row>
    <row r="831" spans="2:16" hidden="1">
      <c r="B831" s="238" t="s">
        <v>72</v>
      </c>
      <c r="C831" s="238" t="s">
        <v>79</v>
      </c>
      <c r="D831" s="238" t="s">
        <v>370</v>
      </c>
      <c r="E831" s="238" t="s">
        <v>371</v>
      </c>
      <c r="F831" s="243" t="str">
        <f t="shared" si="28"/>
        <v>2011-12 - Misc.</v>
      </c>
      <c r="G831" s="244" t="s">
        <v>381</v>
      </c>
      <c r="H831" s="244" t="s">
        <v>381</v>
      </c>
      <c r="I831" s="244" t="s">
        <v>381</v>
      </c>
      <c r="J831" s="244" t="s">
        <v>381</v>
      </c>
      <c r="K831" s="244" t="s">
        <v>381</v>
      </c>
      <c r="L831" s="244" t="s">
        <v>381</v>
      </c>
      <c r="M831" s="244" t="s">
        <v>218</v>
      </c>
      <c r="N831" s="244" t="s">
        <v>381</v>
      </c>
      <c r="O831" s="244" t="s">
        <v>381</v>
      </c>
      <c r="P831" s="245"/>
    </row>
    <row r="832" spans="2:16" hidden="1">
      <c r="B832" s="238" t="s">
        <v>72</v>
      </c>
      <c r="C832" s="238" t="s">
        <v>80</v>
      </c>
      <c r="D832" s="238" t="s">
        <v>157</v>
      </c>
      <c r="E832" s="238" t="s">
        <v>352</v>
      </c>
      <c r="F832" s="243" t="str">
        <f t="shared" si="28"/>
        <v>2010-11 - Plating &amp; heat treatment</v>
      </c>
      <c r="G832" s="244"/>
      <c r="H832" s="244"/>
      <c r="I832" s="244"/>
      <c r="J832" s="244"/>
      <c r="K832" s="244"/>
      <c r="L832" s="244"/>
      <c r="M832" s="244" t="s">
        <v>218</v>
      </c>
      <c r="N832" s="244"/>
      <c r="O832" s="244"/>
      <c r="P832" s="245"/>
    </row>
    <row r="833" spans="2:16" hidden="1">
      <c r="B833" s="238" t="s">
        <v>72</v>
      </c>
      <c r="C833" s="238" t="s">
        <v>80</v>
      </c>
      <c r="D833" s="238" t="s">
        <v>186</v>
      </c>
      <c r="E833" s="238" t="s">
        <v>353</v>
      </c>
      <c r="F833" s="243" t="str">
        <f t="shared" si="28"/>
        <v>2010-11 - Acids</v>
      </c>
      <c r="G833" s="244"/>
      <c r="H833" s="244"/>
      <c r="I833" s="244"/>
      <c r="J833" s="244"/>
      <c r="K833" s="244"/>
      <c r="L833" s="244"/>
      <c r="M833" s="244" t="s">
        <v>218</v>
      </c>
      <c r="N833" s="244"/>
      <c r="O833" s="244"/>
      <c r="P833" s="245"/>
    </row>
    <row r="834" spans="2:16" hidden="1">
      <c r="B834" s="238" t="s">
        <v>72</v>
      </c>
      <c r="C834" s="238" t="s">
        <v>80</v>
      </c>
      <c r="D834" s="238" t="s">
        <v>247</v>
      </c>
      <c r="E834" s="238" t="s">
        <v>354</v>
      </c>
      <c r="F834" s="243" t="str">
        <f t="shared" si="28"/>
        <v>2010-11 - Alkalis</v>
      </c>
      <c r="G834" s="244"/>
      <c r="H834" s="244"/>
      <c r="I834" s="244"/>
      <c r="J834" s="244"/>
      <c r="K834" s="244"/>
      <c r="L834" s="244"/>
      <c r="M834" s="244" t="s">
        <v>218</v>
      </c>
      <c r="N834" s="244"/>
      <c r="O834" s="244"/>
      <c r="P834" s="245"/>
    </row>
    <row r="835" spans="2:16">
      <c r="B835" s="238" t="s">
        <v>72</v>
      </c>
      <c r="C835" s="238" t="s">
        <v>80</v>
      </c>
      <c r="D835" s="238" t="s">
        <v>159</v>
      </c>
      <c r="E835" s="238" t="s">
        <v>355</v>
      </c>
      <c r="F835" s="243" t="str">
        <f t="shared" si="28"/>
        <v>2010-11 - Inorganic chemicals</v>
      </c>
      <c r="G835" s="244"/>
      <c r="H835" s="244"/>
      <c r="I835" s="244"/>
      <c r="J835" s="244"/>
      <c r="K835" s="244"/>
      <c r="L835" s="244"/>
      <c r="M835" s="244" t="s">
        <v>218</v>
      </c>
      <c r="N835" s="244"/>
      <c r="O835" s="244"/>
      <c r="P835" s="245"/>
    </row>
    <row r="836" spans="2:16" hidden="1">
      <c r="B836" s="238" t="s">
        <v>72</v>
      </c>
      <c r="C836" s="238" t="s">
        <v>80</v>
      </c>
      <c r="D836" s="238" t="s">
        <v>356</v>
      </c>
      <c r="E836" s="238" t="s">
        <v>357</v>
      </c>
      <c r="F836" s="243" t="str">
        <f t="shared" si="28"/>
        <v>2010-11 - Reactive chemicals</v>
      </c>
      <c r="G836" s="244"/>
      <c r="H836" s="244"/>
      <c r="I836" s="244"/>
      <c r="J836" s="244"/>
      <c r="K836" s="244"/>
      <c r="L836" s="244"/>
      <c r="M836" s="244" t="s">
        <v>218</v>
      </c>
      <c r="N836" s="244"/>
      <c r="O836" s="244"/>
      <c r="P836" s="245"/>
    </row>
    <row r="837" spans="2:16" hidden="1">
      <c r="B837" s="238" t="s">
        <v>72</v>
      </c>
      <c r="C837" s="238" t="s">
        <v>80</v>
      </c>
      <c r="D837" s="238" t="s">
        <v>161</v>
      </c>
      <c r="E837" s="238" t="s">
        <v>358</v>
      </c>
      <c r="F837" s="243" t="str">
        <f t="shared" si="28"/>
        <v>2010-11 - Paints, resins, inks organic sludges</v>
      </c>
      <c r="G837" s="244"/>
      <c r="H837" s="244"/>
      <c r="I837" s="244"/>
      <c r="J837" s="244"/>
      <c r="K837" s="244"/>
      <c r="L837" s="244"/>
      <c r="M837" s="244" t="s">
        <v>218</v>
      </c>
      <c r="N837" s="244"/>
      <c r="O837" s="244"/>
      <c r="P837" s="245"/>
    </row>
    <row r="838" spans="2:16" hidden="1">
      <c r="B838" s="238" t="s">
        <v>72</v>
      </c>
      <c r="C838" s="238" t="s">
        <v>80</v>
      </c>
      <c r="D838" s="238" t="s">
        <v>219</v>
      </c>
      <c r="E838" s="238" t="s">
        <v>359</v>
      </c>
      <c r="F838" s="243" t="str">
        <f t="shared" si="28"/>
        <v>2010-11 - Organic solvents</v>
      </c>
      <c r="G838" s="244"/>
      <c r="H838" s="244"/>
      <c r="I838" s="244"/>
      <c r="J838" s="244"/>
      <c r="K838" s="244"/>
      <c r="L838" s="244"/>
      <c r="M838" s="244" t="s">
        <v>218</v>
      </c>
      <c r="N838" s="244"/>
      <c r="O838" s="244"/>
      <c r="P838" s="245"/>
    </row>
    <row r="839" spans="2:16" hidden="1">
      <c r="B839" s="238" t="s">
        <v>72</v>
      </c>
      <c r="C839" s="238" t="s">
        <v>80</v>
      </c>
      <c r="D839" s="238" t="s">
        <v>228</v>
      </c>
      <c r="E839" s="238" t="s">
        <v>360</v>
      </c>
      <c r="F839" s="243" t="str">
        <f t="shared" si="28"/>
        <v>2010-11 - Pesticides</v>
      </c>
      <c r="G839" s="244"/>
      <c r="H839" s="244"/>
      <c r="I839" s="244"/>
      <c r="J839" s="244"/>
      <c r="K839" s="244"/>
      <c r="L839" s="244"/>
      <c r="M839" s="244" t="s">
        <v>218</v>
      </c>
      <c r="N839" s="244"/>
      <c r="O839" s="244"/>
      <c r="P839" s="245"/>
    </row>
    <row r="840" spans="2:16" hidden="1">
      <c r="B840" s="238" t="s">
        <v>72</v>
      </c>
      <c r="C840" s="238" t="s">
        <v>80</v>
      </c>
      <c r="D840" s="238" t="s">
        <v>231</v>
      </c>
      <c r="E840" s="238" t="s">
        <v>361</v>
      </c>
      <c r="F840" s="243" t="str">
        <f t="shared" si="28"/>
        <v>2010-11 - Oils</v>
      </c>
      <c r="G840" s="244">
        <v>53.7</v>
      </c>
      <c r="H840" s="244">
        <v>43.43</v>
      </c>
      <c r="I840" s="244">
        <v>17</v>
      </c>
      <c r="J840" s="244"/>
      <c r="K840" s="244"/>
      <c r="L840" s="244"/>
      <c r="M840" s="244" t="s">
        <v>218</v>
      </c>
      <c r="N840" s="244"/>
      <c r="O840" s="244"/>
      <c r="P840" s="245"/>
    </row>
    <row r="841" spans="2:16" hidden="1">
      <c r="B841" s="238" t="s">
        <v>72</v>
      </c>
      <c r="C841" s="238" t="s">
        <v>80</v>
      </c>
      <c r="D841" s="238" t="s">
        <v>362</v>
      </c>
      <c r="E841" s="238" t="s">
        <v>363</v>
      </c>
      <c r="F841" s="243" t="str">
        <f t="shared" si="28"/>
        <v>2010-11 - Putrescible/organic waste</v>
      </c>
      <c r="G841" s="244"/>
      <c r="H841" s="244"/>
      <c r="I841" s="244"/>
      <c r="J841" s="244"/>
      <c r="K841" s="244"/>
      <c r="L841" s="244"/>
      <c r="M841" s="244" t="s">
        <v>218</v>
      </c>
      <c r="N841" s="244"/>
      <c r="O841" s="244"/>
      <c r="P841" s="245"/>
    </row>
    <row r="842" spans="2:16" hidden="1">
      <c r="B842" s="238" t="s">
        <v>72</v>
      </c>
      <c r="C842" s="238" t="s">
        <v>80</v>
      </c>
      <c r="D842" s="238" t="s">
        <v>364</v>
      </c>
      <c r="E842" s="238" t="s">
        <v>365</v>
      </c>
      <c r="F842" s="243" t="str">
        <f t="shared" si="28"/>
        <v>2010-11 - Industrial washwater</v>
      </c>
      <c r="G842" s="244"/>
      <c r="H842" s="244"/>
      <c r="I842" s="244"/>
      <c r="J842" s="244"/>
      <c r="K842" s="244"/>
      <c r="L842" s="244"/>
      <c r="M842" s="244" t="s">
        <v>218</v>
      </c>
      <c r="N842" s="244"/>
      <c r="O842" s="244"/>
      <c r="P842" s="245"/>
    </row>
    <row r="843" spans="2:16" hidden="1">
      <c r="B843" s="238" t="s">
        <v>72</v>
      </c>
      <c r="C843" s="238" t="s">
        <v>80</v>
      </c>
      <c r="D843" s="238" t="s">
        <v>235</v>
      </c>
      <c r="E843" s="238" t="s">
        <v>366</v>
      </c>
      <c r="F843" s="243" t="str">
        <f t="shared" si="28"/>
        <v>2010-11 - Organic chemicals</v>
      </c>
      <c r="G843" s="244">
        <v>448.51</v>
      </c>
      <c r="H843" s="244">
        <v>41.06</v>
      </c>
      <c r="I843" s="244">
        <v>11.9</v>
      </c>
      <c r="J843" s="244"/>
      <c r="K843" s="244">
        <v>40</v>
      </c>
      <c r="L843" s="244"/>
      <c r="M843" s="244" t="s">
        <v>218</v>
      </c>
      <c r="N843" s="244"/>
      <c r="O843" s="244"/>
      <c r="P843" s="245"/>
    </row>
    <row r="844" spans="2:16" hidden="1">
      <c r="B844" s="238" t="s">
        <v>72</v>
      </c>
      <c r="C844" s="238" t="s">
        <v>80</v>
      </c>
      <c r="D844" s="238" t="s">
        <v>367</v>
      </c>
      <c r="E844" s="238" t="s">
        <v>368</v>
      </c>
      <c r="F844" s="243" t="str">
        <f t="shared" si="28"/>
        <v>2010-11 - Soil/sludge</v>
      </c>
      <c r="G844" s="244">
        <v>18.559999999999999</v>
      </c>
      <c r="H844" s="244"/>
      <c r="I844" s="244"/>
      <c r="J844" s="244"/>
      <c r="K844" s="244"/>
      <c r="L844" s="244"/>
      <c r="M844" s="244" t="s">
        <v>218</v>
      </c>
      <c r="N844" s="244"/>
      <c r="O844" s="244"/>
      <c r="P844" s="245"/>
    </row>
    <row r="845" spans="2:16" hidden="1">
      <c r="B845" s="238" t="s">
        <v>72</v>
      </c>
      <c r="C845" s="238" t="s">
        <v>80</v>
      </c>
      <c r="D845" s="238" t="s">
        <v>216</v>
      </c>
      <c r="E845" s="238" t="s">
        <v>369</v>
      </c>
      <c r="F845" s="243" t="str">
        <f t="shared" si="28"/>
        <v>2010-11 - Clinical &amp; pharmaceutical</v>
      </c>
      <c r="G845" s="244">
        <v>267.36</v>
      </c>
      <c r="H845" s="244"/>
      <c r="I845" s="244"/>
      <c r="J845" s="244"/>
      <c r="K845" s="244"/>
      <c r="L845" s="244"/>
      <c r="M845" s="244" t="s">
        <v>218</v>
      </c>
      <c r="N845" s="244"/>
      <c r="O845" s="244"/>
      <c r="P845" s="245"/>
    </row>
    <row r="846" spans="2:16" hidden="1">
      <c r="B846" s="238" t="s">
        <v>72</v>
      </c>
      <c r="C846" s="238" t="s">
        <v>80</v>
      </c>
      <c r="D846" s="238" t="s">
        <v>370</v>
      </c>
      <c r="E846" s="238" t="s">
        <v>371</v>
      </c>
      <c r="F846" s="243" t="str">
        <f t="shared" si="28"/>
        <v>2010-11 - Misc.</v>
      </c>
      <c r="G846" s="244"/>
      <c r="H846" s="244"/>
      <c r="I846" s="244"/>
      <c r="J846" s="244"/>
      <c r="K846" s="244"/>
      <c r="L846" s="244"/>
      <c r="M846" s="244" t="s">
        <v>218</v>
      </c>
      <c r="N846" s="244"/>
      <c r="O846" s="244"/>
      <c r="P846" s="245"/>
    </row>
    <row r="847" spans="2:16" hidden="1">
      <c r="B847" s="238" t="s">
        <v>72</v>
      </c>
      <c r="C847" s="238" t="s">
        <v>81</v>
      </c>
      <c r="D847" s="238" t="s">
        <v>157</v>
      </c>
      <c r="E847" s="238" t="s">
        <v>352</v>
      </c>
      <c r="F847" s="243" t="str">
        <f t="shared" si="28"/>
        <v>2009-10 - Plating &amp; heat treatment</v>
      </c>
      <c r="G847" s="244"/>
      <c r="H847" s="244"/>
      <c r="I847" s="244"/>
      <c r="J847" s="244"/>
      <c r="K847" s="244"/>
      <c r="L847" s="244"/>
      <c r="M847" s="244" t="s">
        <v>218</v>
      </c>
      <c r="N847" s="244"/>
      <c r="O847" s="244"/>
      <c r="P847" s="245"/>
    </row>
    <row r="848" spans="2:16" hidden="1">
      <c r="B848" s="238" t="s">
        <v>72</v>
      </c>
      <c r="C848" s="238" t="s">
        <v>81</v>
      </c>
      <c r="D848" s="238" t="s">
        <v>186</v>
      </c>
      <c r="E848" s="238" t="s">
        <v>353</v>
      </c>
      <c r="F848" s="243" t="str">
        <f t="shared" si="28"/>
        <v>2009-10 - Acids</v>
      </c>
      <c r="G848" s="244"/>
      <c r="H848" s="244"/>
      <c r="I848" s="244"/>
      <c r="J848" s="244"/>
      <c r="K848" s="244"/>
      <c r="L848" s="244"/>
      <c r="M848" s="244" t="s">
        <v>218</v>
      </c>
      <c r="N848" s="244"/>
      <c r="O848" s="244"/>
      <c r="P848" s="245"/>
    </row>
    <row r="849" spans="2:16" hidden="1">
      <c r="B849" s="238" t="s">
        <v>72</v>
      </c>
      <c r="C849" s="238" t="s">
        <v>81</v>
      </c>
      <c r="D849" s="238" t="s">
        <v>247</v>
      </c>
      <c r="E849" s="238" t="s">
        <v>354</v>
      </c>
      <c r="F849" s="243" t="str">
        <f t="shared" si="28"/>
        <v>2009-10 - Alkalis</v>
      </c>
      <c r="G849" s="244"/>
      <c r="H849" s="244"/>
      <c r="I849" s="244"/>
      <c r="J849" s="244"/>
      <c r="K849" s="244"/>
      <c r="L849" s="244"/>
      <c r="M849" s="244" t="s">
        <v>218</v>
      </c>
      <c r="N849" s="244"/>
      <c r="O849" s="244"/>
      <c r="P849" s="245"/>
    </row>
    <row r="850" spans="2:16">
      <c r="B850" s="238" t="s">
        <v>72</v>
      </c>
      <c r="C850" s="238" t="s">
        <v>81</v>
      </c>
      <c r="D850" s="238" t="s">
        <v>159</v>
      </c>
      <c r="E850" s="238" t="s">
        <v>355</v>
      </c>
      <c r="F850" s="243" t="str">
        <f t="shared" si="28"/>
        <v>2009-10 - Inorganic chemicals</v>
      </c>
      <c r="G850" s="244"/>
      <c r="H850" s="244"/>
      <c r="I850" s="244"/>
      <c r="J850" s="244"/>
      <c r="K850" s="244"/>
      <c r="L850" s="244"/>
      <c r="M850" s="244" t="s">
        <v>218</v>
      </c>
      <c r="N850" s="244"/>
      <c r="O850" s="244"/>
      <c r="P850" s="245"/>
    </row>
    <row r="851" spans="2:16" hidden="1">
      <c r="B851" s="238" t="s">
        <v>72</v>
      </c>
      <c r="C851" s="238" t="s">
        <v>81</v>
      </c>
      <c r="D851" s="238" t="s">
        <v>356</v>
      </c>
      <c r="E851" s="238" t="s">
        <v>357</v>
      </c>
      <c r="F851" s="243" t="str">
        <f t="shared" si="28"/>
        <v>2009-10 - Reactive chemicals</v>
      </c>
      <c r="G851" s="244"/>
      <c r="H851" s="244"/>
      <c r="I851" s="244"/>
      <c r="J851" s="244"/>
      <c r="K851" s="244"/>
      <c r="L851" s="244"/>
      <c r="M851" s="244" t="s">
        <v>218</v>
      </c>
      <c r="N851" s="244"/>
      <c r="O851" s="244"/>
      <c r="P851" s="245"/>
    </row>
    <row r="852" spans="2:16" hidden="1">
      <c r="B852" s="238" t="s">
        <v>72</v>
      </c>
      <c r="C852" s="238" t="s">
        <v>81</v>
      </c>
      <c r="D852" s="238" t="s">
        <v>161</v>
      </c>
      <c r="E852" s="238" t="s">
        <v>358</v>
      </c>
      <c r="F852" s="243" t="str">
        <f t="shared" si="28"/>
        <v>2009-10 - Paints, resins, inks organic sludges</v>
      </c>
      <c r="G852" s="244"/>
      <c r="H852" s="244"/>
      <c r="I852" s="244"/>
      <c r="J852" s="244"/>
      <c r="K852" s="244"/>
      <c r="L852" s="244"/>
      <c r="M852" s="244" t="s">
        <v>218</v>
      </c>
      <c r="N852" s="244"/>
      <c r="O852" s="244"/>
      <c r="P852" s="245"/>
    </row>
    <row r="853" spans="2:16" hidden="1">
      <c r="B853" s="238" t="s">
        <v>72</v>
      </c>
      <c r="C853" s="238" t="s">
        <v>81</v>
      </c>
      <c r="D853" s="238" t="s">
        <v>219</v>
      </c>
      <c r="E853" s="238" t="s">
        <v>359</v>
      </c>
      <c r="F853" s="243" t="str">
        <f t="shared" si="28"/>
        <v>2009-10 - Organic solvents</v>
      </c>
      <c r="G853" s="244"/>
      <c r="H853" s="244"/>
      <c r="I853" s="244"/>
      <c r="J853" s="244"/>
      <c r="K853" s="244"/>
      <c r="L853" s="244"/>
      <c r="M853" s="244" t="s">
        <v>218</v>
      </c>
      <c r="N853" s="244"/>
      <c r="O853" s="244"/>
      <c r="P853" s="245"/>
    </row>
    <row r="854" spans="2:16" hidden="1">
      <c r="B854" s="238" t="s">
        <v>72</v>
      </c>
      <c r="C854" s="238" t="s">
        <v>81</v>
      </c>
      <c r="D854" s="238" t="s">
        <v>228</v>
      </c>
      <c r="E854" s="238" t="s">
        <v>360</v>
      </c>
      <c r="F854" s="243" t="str">
        <f t="shared" si="28"/>
        <v>2009-10 - Pesticides</v>
      </c>
      <c r="G854" s="244"/>
      <c r="H854" s="244"/>
      <c r="I854" s="244"/>
      <c r="J854" s="244"/>
      <c r="K854" s="244"/>
      <c r="L854" s="244"/>
      <c r="M854" s="244" t="s">
        <v>218</v>
      </c>
      <c r="N854" s="244"/>
      <c r="O854" s="244"/>
      <c r="P854" s="245"/>
    </row>
    <row r="855" spans="2:16" hidden="1">
      <c r="B855" s="238" t="s">
        <v>72</v>
      </c>
      <c r="C855" s="238" t="s">
        <v>81</v>
      </c>
      <c r="D855" s="238" t="s">
        <v>231</v>
      </c>
      <c r="E855" s="238" t="s">
        <v>361</v>
      </c>
      <c r="F855" s="243" t="str">
        <f t="shared" si="28"/>
        <v>2009-10 - Oils</v>
      </c>
      <c r="G855" s="244">
        <v>177.29</v>
      </c>
      <c r="H855" s="244">
        <v>4.05</v>
      </c>
      <c r="I855" s="244"/>
      <c r="J855" s="244"/>
      <c r="K855" s="244"/>
      <c r="L855" s="244"/>
      <c r="M855" s="244" t="s">
        <v>218</v>
      </c>
      <c r="N855" s="244"/>
      <c r="O855" s="244"/>
      <c r="P855" s="245"/>
    </row>
    <row r="856" spans="2:16" hidden="1">
      <c r="B856" s="238" t="s">
        <v>72</v>
      </c>
      <c r="C856" s="238" t="s">
        <v>81</v>
      </c>
      <c r="D856" s="238" t="s">
        <v>362</v>
      </c>
      <c r="E856" s="238" t="s">
        <v>363</v>
      </c>
      <c r="F856" s="243" t="str">
        <f t="shared" si="28"/>
        <v>2009-10 - Putrescible/organic waste</v>
      </c>
      <c r="G856" s="244"/>
      <c r="H856" s="244"/>
      <c r="I856" s="244"/>
      <c r="J856" s="244"/>
      <c r="K856" s="244"/>
      <c r="L856" s="244"/>
      <c r="M856" s="244" t="s">
        <v>218</v>
      </c>
      <c r="N856" s="244"/>
      <c r="O856" s="244"/>
      <c r="P856" s="245"/>
    </row>
    <row r="857" spans="2:16" hidden="1">
      <c r="B857" s="238" t="s">
        <v>72</v>
      </c>
      <c r="C857" s="238" t="s">
        <v>81</v>
      </c>
      <c r="D857" s="238" t="s">
        <v>364</v>
      </c>
      <c r="E857" s="238" t="s">
        <v>365</v>
      </c>
      <c r="F857" s="243" t="str">
        <f t="shared" si="28"/>
        <v>2009-10 - Industrial washwater</v>
      </c>
      <c r="G857" s="244"/>
      <c r="H857" s="244"/>
      <c r="I857" s="244"/>
      <c r="J857" s="244"/>
      <c r="K857" s="244"/>
      <c r="L857" s="244"/>
      <c r="M857" s="244" t="s">
        <v>218</v>
      </c>
      <c r="N857" s="244"/>
      <c r="O857" s="244"/>
      <c r="P857" s="245"/>
    </row>
    <row r="858" spans="2:16" hidden="1">
      <c r="B858" s="238" t="s">
        <v>72</v>
      </c>
      <c r="C858" s="238" t="s">
        <v>81</v>
      </c>
      <c r="D858" s="238" t="s">
        <v>235</v>
      </c>
      <c r="E858" s="238" t="s">
        <v>366</v>
      </c>
      <c r="F858" s="243" t="str">
        <f t="shared" si="28"/>
        <v>2009-10 - Organic chemicals</v>
      </c>
      <c r="G858" s="244">
        <v>469.66</v>
      </c>
      <c r="H858" s="244">
        <v>17.100000000000001</v>
      </c>
      <c r="I858" s="244">
        <v>30.1</v>
      </c>
      <c r="J858" s="244"/>
      <c r="K858" s="244"/>
      <c r="L858" s="244"/>
      <c r="M858" s="244" t="s">
        <v>218</v>
      </c>
      <c r="N858" s="244"/>
      <c r="O858" s="244"/>
      <c r="P858" s="245"/>
    </row>
    <row r="859" spans="2:16" hidden="1">
      <c r="B859" s="238" t="s">
        <v>72</v>
      </c>
      <c r="C859" s="238" t="s">
        <v>81</v>
      </c>
      <c r="D859" s="238" t="s">
        <v>367</v>
      </c>
      <c r="E859" s="238" t="s">
        <v>368</v>
      </c>
      <c r="F859" s="243" t="str">
        <f t="shared" si="28"/>
        <v>2009-10 - Soil/sludge</v>
      </c>
      <c r="G859" s="244">
        <v>1675.46</v>
      </c>
      <c r="H859" s="244"/>
      <c r="I859" s="244"/>
      <c r="J859" s="244"/>
      <c r="K859" s="244"/>
      <c r="L859" s="244"/>
      <c r="M859" s="244" t="s">
        <v>218</v>
      </c>
      <c r="N859" s="244"/>
      <c r="O859" s="244"/>
      <c r="P859" s="245"/>
    </row>
    <row r="860" spans="2:16" hidden="1">
      <c r="B860" s="238" t="s">
        <v>72</v>
      </c>
      <c r="C860" s="238" t="s">
        <v>81</v>
      </c>
      <c r="D860" s="238" t="s">
        <v>216</v>
      </c>
      <c r="E860" s="238" t="s">
        <v>369</v>
      </c>
      <c r="F860" s="243" t="str">
        <f t="shared" si="28"/>
        <v>2009-10 - Clinical &amp; pharmaceutical</v>
      </c>
      <c r="G860" s="244">
        <v>260.86</v>
      </c>
      <c r="H860" s="244"/>
      <c r="I860" s="244"/>
      <c r="J860" s="244"/>
      <c r="K860" s="244"/>
      <c r="L860" s="244"/>
      <c r="M860" s="244" t="s">
        <v>218</v>
      </c>
      <c r="N860" s="244"/>
      <c r="O860" s="244"/>
      <c r="P860" s="245"/>
    </row>
    <row r="861" spans="2:16" hidden="1">
      <c r="B861" s="238" t="s">
        <v>72</v>
      </c>
      <c r="C861" s="238" t="s">
        <v>81</v>
      </c>
      <c r="D861" s="238" t="s">
        <v>370</v>
      </c>
      <c r="E861" s="238" t="s">
        <v>371</v>
      </c>
      <c r="F861" s="243" t="str">
        <f t="shared" si="28"/>
        <v>2009-10 - Misc.</v>
      </c>
      <c r="G861" s="244"/>
      <c r="H861" s="244"/>
      <c r="I861" s="244"/>
      <c r="J861" s="244"/>
      <c r="K861" s="244"/>
      <c r="L861" s="244"/>
      <c r="M861" s="244" t="s">
        <v>218</v>
      </c>
      <c r="N861" s="244"/>
      <c r="O861" s="244"/>
      <c r="P861" s="245"/>
    </row>
    <row r="862" spans="2:16" hidden="1">
      <c r="B862" s="238" t="s">
        <v>72</v>
      </c>
      <c r="C862" s="238" t="s">
        <v>82</v>
      </c>
      <c r="D862" s="238" t="s">
        <v>157</v>
      </c>
      <c r="E862" s="238" t="s">
        <v>352</v>
      </c>
      <c r="F862" s="243" t="str">
        <f t="shared" si="28"/>
        <v>2008-09 - Plating &amp; heat treatment</v>
      </c>
      <c r="G862" s="244"/>
      <c r="H862" s="244"/>
      <c r="I862" s="244"/>
      <c r="J862" s="244"/>
      <c r="K862" s="244"/>
      <c r="L862" s="244"/>
      <c r="M862" s="244" t="s">
        <v>218</v>
      </c>
      <c r="N862" s="244"/>
      <c r="O862" s="244"/>
      <c r="P862" s="245"/>
    </row>
    <row r="863" spans="2:16" hidden="1">
      <c r="B863" s="238" t="s">
        <v>72</v>
      </c>
      <c r="C863" s="238" t="s">
        <v>82</v>
      </c>
      <c r="D863" s="238" t="s">
        <v>186</v>
      </c>
      <c r="E863" s="238" t="s">
        <v>353</v>
      </c>
      <c r="F863" s="243" t="str">
        <f t="shared" si="28"/>
        <v>2008-09 - Acids</v>
      </c>
      <c r="G863" s="244"/>
      <c r="H863" s="244"/>
      <c r="I863" s="244"/>
      <c r="J863" s="244"/>
      <c r="K863" s="244"/>
      <c r="L863" s="244"/>
      <c r="M863" s="244" t="s">
        <v>218</v>
      </c>
      <c r="N863" s="244"/>
      <c r="O863" s="244"/>
      <c r="P863" s="245"/>
    </row>
    <row r="864" spans="2:16" hidden="1">
      <c r="B864" s="238" t="s">
        <v>72</v>
      </c>
      <c r="C864" s="238" t="s">
        <v>82</v>
      </c>
      <c r="D864" s="238" t="s">
        <v>247</v>
      </c>
      <c r="E864" s="238" t="s">
        <v>354</v>
      </c>
      <c r="F864" s="243" t="str">
        <f t="shared" si="28"/>
        <v>2008-09 - Alkalis</v>
      </c>
      <c r="G864" s="244"/>
      <c r="H864" s="244"/>
      <c r="I864" s="244"/>
      <c r="J864" s="244"/>
      <c r="K864" s="244"/>
      <c r="L864" s="244"/>
      <c r="M864" s="244" t="s">
        <v>218</v>
      </c>
      <c r="N864" s="244"/>
      <c r="O864" s="244"/>
      <c r="P864" s="245"/>
    </row>
    <row r="865" spans="2:16">
      <c r="B865" s="238" t="s">
        <v>72</v>
      </c>
      <c r="C865" s="238" t="s">
        <v>82</v>
      </c>
      <c r="D865" s="238" t="s">
        <v>159</v>
      </c>
      <c r="E865" s="238" t="s">
        <v>355</v>
      </c>
      <c r="F865" s="243" t="str">
        <f t="shared" si="28"/>
        <v>2008-09 - Inorganic chemicals</v>
      </c>
      <c r="G865" s="244"/>
      <c r="H865" s="244"/>
      <c r="I865" s="244"/>
      <c r="J865" s="244"/>
      <c r="K865" s="244"/>
      <c r="L865" s="244"/>
      <c r="M865" s="244" t="s">
        <v>218</v>
      </c>
      <c r="N865" s="244"/>
      <c r="O865" s="244"/>
      <c r="P865" s="245"/>
    </row>
    <row r="866" spans="2:16" hidden="1">
      <c r="B866" s="238" t="s">
        <v>72</v>
      </c>
      <c r="C866" s="238" t="s">
        <v>82</v>
      </c>
      <c r="D866" s="238" t="s">
        <v>356</v>
      </c>
      <c r="E866" s="238" t="s">
        <v>357</v>
      </c>
      <c r="F866" s="243" t="str">
        <f t="shared" si="28"/>
        <v>2008-09 - Reactive chemicals</v>
      </c>
      <c r="G866" s="244"/>
      <c r="H866" s="244"/>
      <c r="I866" s="244"/>
      <c r="J866" s="244"/>
      <c r="K866" s="244"/>
      <c r="L866" s="244"/>
      <c r="M866" s="244" t="s">
        <v>218</v>
      </c>
      <c r="N866" s="244"/>
      <c r="O866" s="244"/>
      <c r="P866" s="245"/>
    </row>
    <row r="867" spans="2:16" hidden="1">
      <c r="B867" s="238" t="s">
        <v>72</v>
      </c>
      <c r="C867" s="238" t="s">
        <v>82</v>
      </c>
      <c r="D867" s="238" t="s">
        <v>161</v>
      </c>
      <c r="E867" s="238" t="s">
        <v>358</v>
      </c>
      <c r="F867" s="243" t="str">
        <f t="shared" si="28"/>
        <v>2008-09 - Paints, resins, inks organic sludges</v>
      </c>
      <c r="G867" s="244"/>
      <c r="H867" s="244"/>
      <c r="I867" s="244"/>
      <c r="J867" s="244"/>
      <c r="K867" s="244"/>
      <c r="L867" s="244"/>
      <c r="M867" s="244" t="s">
        <v>218</v>
      </c>
      <c r="N867" s="244"/>
      <c r="O867" s="244"/>
      <c r="P867" s="245"/>
    </row>
    <row r="868" spans="2:16" hidden="1">
      <c r="B868" s="238" t="s">
        <v>72</v>
      </c>
      <c r="C868" s="238" t="s">
        <v>82</v>
      </c>
      <c r="D868" s="238" t="s">
        <v>219</v>
      </c>
      <c r="E868" s="238" t="s">
        <v>359</v>
      </c>
      <c r="F868" s="243" t="str">
        <f t="shared" si="28"/>
        <v>2008-09 - Organic solvents</v>
      </c>
      <c r="G868" s="244"/>
      <c r="H868" s="244"/>
      <c r="I868" s="244"/>
      <c r="J868" s="244"/>
      <c r="K868" s="244"/>
      <c r="L868" s="244"/>
      <c r="M868" s="244" t="s">
        <v>218</v>
      </c>
      <c r="N868" s="244"/>
      <c r="O868" s="244"/>
      <c r="P868" s="245"/>
    </row>
    <row r="869" spans="2:16" hidden="1">
      <c r="B869" s="238" t="s">
        <v>72</v>
      </c>
      <c r="C869" s="238" t="s">
        <v>82</v>
      </c>
      <c r="D869" s="238" t="s">
        <v>228</v>
      </c>
      <c r="E869" s="238" t="s">
        <v>360</v>
      </c>
      <c r="F869" s="243" t="str">
        <f t="shared" si="28"/>
        <v>2008-09 - Pesticides</v>
      </c>
      <c r="G869" s="244"/>
      <c r="H869" s="244"/>
      <c r="I869" s="244"/>
      <c r="J869" s="244"/>
      <c r="K869" s="244"/>
      <c r="L869" s="244"/>
      <c r="M869" s="244" t="s">
        <v>218</v>
      </c>
      <c r="N869" s="244"/>
      <c r="O869" s="244"/>
      <c r="P869" s="245"/>
    </row>
    <row r="870" spans="2:16" hidden="1">
      <c r="B870" s="238" t="s">
        <v>72</v>
      </c>
      <c r="C870" s="238" t="s">
        <v>82</v>
      </c>
      <c r="D870" s="238" t="s">
        <v>231</v>
      </c>
      <c r="E870" s="238" t="s">
        <v>361</v>
      </c>
      <c r="F870" s="243" t="str">
        <f t="shared" si="28"/>
        <v>2008-09 - Oils</v>
      </c>
      <c r="G870" s="244">
        <v>284.39999999999998</v>
      </c>
      <c r="H870" s="244">
        <v>1.86</v>
      </c>
      <c r="I870" s="244"/>
      <c r="J870" s="244"/>
      <c r="K870" s="244"/>
      <c r="L870" s="244"/>
      <c r="M870" s="244" t="s">
        <v>218</v>
      </c>
      <c r="N870" s="244"/>
      <c r="O870" s="244"/>
      <c r="P870" s="245"/>
    </row>
    <row r="871" spans="2:16" hidden="1">
      <c r="B871" s="238" t="s">
        <v>72</v>
      </c>
      <c r="C871" s="238" t="s">
        <v>82</v>
      </c>
      <c r="D871" s="238" t="s">
        <v>362</v>
      </c>
      <c r="E871" s="238" t="s">
        <v>363</v>
      </c>
      <c r="F871" s="243" t="str">
        <f t="shared" si="28"/>
        <v>2008-09 - Putrescible/organic waste</v>
      </c>
      <c r="G871" s="244"/>
      <c r="H871" s="244"/>
      <c r="I871" s="244"/>
      <c r="J871" s="244"/>
      <c r="K871" s="244"/>
      <c r="L871" s="244"/>
      <c r="M871" s="244" t="s">
        <v>218</v>
      </c>
      <c r="N871" s="244"/>
      <c r="O871" s="244"/>
      <c r="P871" s="245"/>
    </row>
    <row r="872" spans="2:16" hidden="1">
      <c r="B872" s="238" t="s">
        <v>72</v>
      </c>
      <c r="C872" s="238" t="s">
        <v>82</v>
      </c>
      <c r="D872" s="238" t="s">
        <v>364</v>
      </c>
      <c r="E872" s="238" t="s">
        <v>365</v>
      </c>
      <c r="F872" s="243" t="str">
        <f t="shared" si="28"/>
        <v>2008-09 - Industrial washwater</v>
      </c>
      <c r="G872" s="244"/>
      <c r="H872" s="244"/>
      <c r="I872" s="244"/>
      <c r="J872" s="244"/>
      <c r="K872" s="244"/>
      <c r="L872" s="244"/>
      <c r="M872" s="244" t="s">
        <v>218</v>
      </c>
      <c r="N872" s="244"/>
      <c r="O872" s="244"/>
      <c r="P872" s="245"/>
    </row>
    <row r="873" spans="2:16" hidden="1">
      <c r="B873" s="238" t="s">
        <v>72</v>
      </c>
      <c r="C873" s="238" t="s">
        <v>82</v>
      </c>
      <c r="D873" s="238" t="s">
        <v>235</v>
      </c>
      <c r="E873" s="238" t="s">
        <v>366</v>
      </c>
      <c r="F873" s="243" t="str">
        <f t="shared" si="28"/>
        <v>2008-09 - Organic chemicals</v>
      </c>
      <c r="G873" s="244">
        <v>669.65</v>
      </c>
      <c r="H873" s="244">
        <v>61.75</v>
      </c>
      <c r="I873" s="244">
        <v>363.2</v>
      </c>
      <c r="J873" s="244"/>
      <c r="K873" s="244"/>
      <c r="L873" s="244"/>
      <c r="M873" s="244" t="s">
        <v>218</v>
      </c>
      <c r="N873" s="244"/>
      <c r="O873" s="244"/>
      <c r="P873" s="245"/>
    </row>
    <row r="874" spans="2:16" hidden="1">
      <c r="B874" s="238" t="s">
        <v>72</v>
      </c>
      <c r="C874" s="238" t="s">
        <v>82</v>
      </c>
      <c r="D874" s="238" t="s">
        <v>367</v>
      </c>
      <c r="E874" s="238" t="s">
        <v>368</v>
      </c>
      <c r="F874" s="243" t="str">
        <f t="shared" si="28"/>
        <v>2008-09 - Soil/sludge</v>
      </c>
      <c r="G874" s="244"/>
      <c r="H874" s="244"/>
      <c r="I874" s="244"/>
      <c r="J874" s="244"/>
      <c r="K874" s="244"/>
      <c r="L874" s="244"/>
      <c r="M874" s="244" t="s">
        <v>218</v>
      </c>
      <c r="N874" s="244"/>
      <c r="O874" s="244"/>
      <c r="P874" s="245"/>
    </row>
    <row r="875" spans="2:16" hidden="1">
      <c r="B875" s="238" t="s">
        <v>72</v>
      </c>
      <c r="C875" s="238" t="s">
        <v>82</v>
      </c>
      <c r="D875" s="238" t="s">
        <v>216</v>
      </c>
      <c r="E875" s="238" t="s">
        <v>369</v>
      </c>
      <c r="F875" s="243" t="str">
        <f t="shared" si="28"/>
        <v>2008-09 - Clinical &amp; pharmaceutical</v>
      </c>
      <c r="G875" s="244">
        <v>267.98</v>
      </c>
      <c r="H875" s="244"/>
      <c r="I875" s="244"/>
      <c r="J875" s="244"/>
      <c r="K875" s="244"/>
      <c r="L875" s="244"/>
      <c r="M875" s="244" t="s">
        <v>218</v>
      </c>
      <c r="N875" s="244"/>
      <c r="O875" s="244"/>
      <c r="P875" s="245"/>
    </row>
    <row r="876" spans="2:16" hidden="1">
      <c r="B876" s="238" t="s">
        <v>72</v>
      </c>
      <c r="C876" s="238" t="s">
        <v>82</v>
      </c>
      <c r="D876" s="238" t="s">
        <v>370</v>
      </c>
      <c r="E876" s="238" t="s">
        <v>371</v>
      </c>
      <c r="F876" s="243" t="str">
        <f t="shared" ref="F876:F939" si="29">CONCATENATE(C876," - ",E876)</f>
        <v>2008-09 - Misc.</v>
      </c>
      <c r="G876" s="244"/>
      <c r="H876" s="244"/>
      <c r="I876" s="244"/>
      <c r="J876" s="244"/>
      <c r="K876" s="244"/>
      <c r="L876" s="244"/>
      <c r="M876" s="244" t="s">
        <v>218</v>
      </c>
      <c r="N876" s="244"/>
      <c r="O876" s="244"/>
      <c r="P876" s="245"/>
    </row>
    <row r="877" spans="2:16" hidden="1">
      <c r="B877" s="238" t="s">
        <v>72</v>
      </c>
      <c r="C877" s="238" t="s">
        <v>83</v>
      </c>
      <c r="D877" s="238" t="s">
        <v>157</v>
      </c>
      <c r="E877" s="238" t="s">
        <v>352</v>
      </c>
      <c r="F877" s="243" t="str">
        <f t="shared" si="29"/>
        <v>2007-08 - Plating &amp; heat treatment</v>
      </c>
      <c r="G877" s="244"/>
      <c r="H877" s="244"/>
      <c r="I877" s="244"/>
      <c r="J877" s="244"/>
      <c r="K877" s="244"/>
      <c r="L877" s="244"/>
      <c r="M877" s="244" t="s">
        <v>218</v>
      </c>
      <c r="N877" s="244"/>
      <c r="O877" s="244"/>
      <c r="P877" s="245"/>
    </row>
    <row r="878" spans="2:16" hidden="1">
      <c r="B878" s="238" t="s">
        <v>72</v>
      </c>
      <c r="C878" s="238" t="s">
        <v>83</v>
      </c>
      <c r="D878" s="238" t="s">
        <v>186</v>
      </c>
      <c r="E878" s="238" t="s">
        <v>353</v>
      </c>
      <c r="F878" s="243" t="str">
        <f t="shared" si="29"/>
        <v>2007-08 - Acids</v>
      </c>
      <c r="G878" s="244"/>
      <c r="H878" s="244"/>
      <c r="I878" s="244"/>
      <c r="J878" s="244"/>
      <c r="K878" s="244"/>
      <c r="L878" s="244"/>
      <c r="M878" s="244" t="s">
        <v>218</v>
      </c>
      <c r="N878" s="244"/>
      <c r="O878" s="244"/>
      <c r="P878" s="245"/>
    </row>
    <row r="879" spans="2:16" hidden="1">
      <c r="B879" s="238" t="s">
        <v>72</v>
      </c>
      <c r="C879" s="238" t="s">
        <v>83</v>
      </c>
      <c r="D879" s="238" t="s">
        <v>247</v>
      </c>
      <c r="E879" s="238" t="s">
        <v>354</v>
      </c>
      <c r="F879" s="243" t="str">
        <f t="shared" si="29"/>
        <v>2007-08 - Alkalis</v>
      </c>
      <c r="G879" s="244"/>
      <c r="H879" s="244"/>
      <c r="I879" s="244"/>
      <c r="J879" s="244"/>
      <c r="K879" s="244"/>
      <c r="L879" s="244"/>
      <c r="M879" s="244" t="s">
        <v>218</v>
      </c>
      <c r="N879" s="244"/>
      <c r="O879" s="244"/>
      <c r="P879" s="245"/>
    </row>
    <row r="880" spans="2:16">
      <c r="B880" s="238" t="s">
        <v>72</v>
      </c>
      <c r="C880" s="238" t="s">
        <v>83</v>
      </c>
      <c r="D880" s="238" t="s">
        <v>159</v>
      </c>
      <c r="E880" s="238" t="s">
        <v>355</v>
      </c>
      <c r="F880" s="243" t="str">
        <f t="shared" si="29"/>
        <v>2007-08 - Inorganic chemicals</v>
      </c>
      <c r="G880" s="244"/>
      <c r="H880" s="244"/>
      <c r="I880" s="244"/>
      <c r="J880" s="244"/>
      <c r="K880" s="244"/>
      <c r="L880" s="244"/>
      <c r="M880" s="244" t="s">
        <v>218</v>
      </c>
      <c r="N880" s="244"/>
      <c r="O880" s="244"/>
      <c r="P880" s="245"/>
    </row>
    <row r="881" spans="2:16" hidden="1">
      <c r="B881" s="238" t="s">
        <v>72</v>
      </c>
      <c r="C881" s="238" t="s">
        <v>83</v>
      </c>
      <c r="D881" s="238" t="s">
        <v>356</v>
      </c>
      <c r="E881" s="238" t="s">
        <v>357</v>
      </c>
      <c r="F881" s="243" t="str">
        <f t="shared" si="29"/>
        <v>2007-08 - Reactive chemicals</v>
      </c>
      <c r="G881" s="244"/>
      <c r="H881" s="244"/>
      <c r="I881" s="244"/>
      <c r="J881" s="244"/>
      <c r="K881" s="244"/>
      <c r="L881" s="244"/>
      <c r="M881" s="244" t="s">
        <v>218</v>
      </c>
      <c r="N881" s="244"/>
      <c r="O881" s="244"/>
      <c r="P881" s="245"/>
    </row>
    <row r="882" spans="2:16" hidden="1">
      <c r="B882" s="238" t="s">
        <v>72</v>
      </c>
      <c r="C882" s="238" t="s">
        <v>83</v>
      </c>
      <c r="D882" s="238" t="s">
        <v>161</v>
      </c>
      <c r="E882" s="238" t="s">
        <v>358</v>
      </c>
      <c r="F882" s="243" t="str">
        <f t="shared" si="29"/>
        <v>2007-08 - Paints, resins, inks organic sludges</v>
      </c>
      <c r="G882" s="244"/>
      <c r="H882" s="244"/>
      <c r="I882" s="244"/>
      <c r="J882" s="244"/>
      <c r="K882" s="244"/>
      <c r="L882" s="244"/>
      <c r="M882" s="244" t="s">
        <v>218</v>
      </c>
      <c r="N882" s="244"/>
      <c r="O882" s="244"/>
      <c r="P882" s="245"/>
    </row>
    <row r="883" spans="2:16" hidden="1">
      <c r="B883" s="238" t="s">
        <v>72</v>
      </c>
      <c r="C883" s="238" t="s">
        <v>83</v>
      </c>
      <c r="D883" s="238" t="s">
        <v>219</v>
      </c>
      <c r="E883" s="238" t="s">
        <v>359</v>
      </c>
      <c r="F883" s="243" t="str">
        <f t="shared" si="29"/>
        <v>2007-08 - Organic solvents</v>
      </c>
      <c r="G883" s="244"/>
      <c r="H883" s="244"/>
      <c r="I883" s="244"/>
      <c r="J883" s="244"/>
      <c r="K883" s="244"/>
      <c r="L883" s="244"/>
      <c r="M883" s="244" t="s">
        <v>218</v>
      </c>
      <c r="N883" s="244"/>
      <c r="O883" s="244"/>
      <c r="P883" s="245"/>
    </row>
    <row r="884" spans="2:16" hidden="1">
      <c r="B884" s="238" t="s">
        <v>72</v>
      </c>
      <c r="C884" s="238" t="s">
        <v>83</v>
      </c>
      <c r="D884" s="238" t="s">
        <v>228</v>
      </c>
      <c r="E884" s="238" t="s">
        <v>360</v>
      </c>
      <c r="F884" s="243" t="str">
        <f t="shared" si="29"/>
        <v>2007-08 - Pesticides</v>
      </c>
      <c r="G884" s="244"/>
      <c r="H884" s="244"/>
      <c r="I884" s="244"/>
      <c r="J884" s="244"/>
      <c r="K884" s="244"/>
      <c r="L884" s="244"/>
      <c r="M884" s="244" t="s">
        <v>218</v>
      </c>
      <c r="N884" s="244"/>
      <c r="O884" s="244"/>
      <c r="P884" s="245"/>
    </row>
    <row r="885" spans="2:16" hidden="1">
      <c r="B885" s="238" t="s">
        <v>72</v>
      </c>
      <c r="C885" s="238" t="s">
        <v>83</v>
      </c>
      <c r="D885" s="238" t="s">
        <v>231</v>
      </c>
      <c r="E885" s="238" t="s">
        <v>361</v>
      </c>
      <c r="F885" s="243" t="str">
        <f t="shared" si="29"/>
        <v>2007-08 - Oils</v>
      </c>
      <c r="G885" s="244">
        <v>269.38</v>
      </c>
      <c r="H885" s="244"/>
      <c r="I885" s="244"/>
      <c r="J885" s="244"/>
      <c r="K885" s="244"/>
      <c r="L885" s="244"/>
      <c r="M885" s="244" t="s">
        <v>218</v>
      </c>
      <c r="N885" s="244"/>
      <c r="O885" s="244"/>
      <c r="P885" s="245"/>
    </row>
    <row r="886" spans="2:16" hidden="1">
      <c r="B886" s="238" t="s">
        <v>72</v>
      </c>
      <c r="C886" s="238" t="s">
        <v>83</v>
      </c>
      <c r="D886" s="238" t="s">
        <v>362</v>
      </c>
      <c r="E886" s="238" t="s">
        <v>363</v>
      </c>
      <c r="F886" s="243" t="str">
        <f t="shared" si="29"/>
        <v>2007-08 - Putrescible/organic waste</v>
      </c>
      <c r="G886" s="244"/>
      <c r="H886" s="244"/>
      <c r="I886" s="244"/>
      <c r="J886" s="244"/>
      <c r="K886" s="244"/>
      <c r="L886" s="244"/>
      <c r="M886" s="244" t="s">
        <v>218</v>
      </c>
      <c r="N886" s="244"/>
      <c r="O886" s="244"/>
      <c r="P886" s="245"/>
    </row>
    <row r="887" spans="2:16" hidden="1">
      <c r="B887" s="238" t="s">
        <v>72</v>
      </c>
      <c r="C887" s="238" t="s">
        <v>83</v>
      </c>
      <c r="D887" s="238" t="s">
        <v>364</v>
      </c>
      <c r="E887" s="238" t="s">
        <v>365</v>
      </c>
      <c r="F887" s="243" t="str">
        <f t="shared" si="29"/>
        <v>2007-08 - Industrial washwater</v>
      </c>
      <c r="G887" s="244"/>
      <c r="H887" s="244"/>
      <c r="I887" s="244"/>
      <c r="J887" s="244"/>
      <c r="K887" s="244"/>
      <c r="L887" s="244"/>
      <c r="M887" s="244" t="s">
        <v>218</v>
      </c>
      <c r="N887" s="244"/>
      <c r="O887" s="244"/>
      <c r="P887" s="245"/>
    </row>
    <row r="888" spans="2:16" hidden="1">
      <c r="B888" s="238" t="s">
        <v>72</v>
      </c>
      <c r="C888" s="238" t="s">
        <v>83</v>
      </c>
      <c r="D888" s="238" t="s">
        <v>235</v>
      </c>
      <c r="E888" s="238" t="s">
        <v>366</v>
      </c>
      <c r="F888" s="243" t="str">
        <f t="shared" si="29"/>
        <v>2007-08 - Organic chemicals</v>
      </c>
      <c r="G888" s="244">
        <v>478.25</v>
      </c>
      <c r="H888" s="244"/>
      <c r="I888" s="244">
        <v>11.9</v>
      </c>
      <c r="J888" s="244"/>
      <c r="K888" s="244"/>
      <c r="L888" s="244"/>
      <c r="M888" s="244" t="s">
        <v>218</v>
      </c>
      <c r="N888" s="244"/>
      <c r="O888" s="244"/>
      <c r="P888" s="245"/>
    </row>
    <row r="889" spans="2:16" hidden="1">
      <c r="B889" s="238" t="s">
        <v>72</v>
      </c>
      <c r="C889" s="238" t="s">
        <v>83</v>
      </c>
      <c r="D889" s="238" t="s">
        <v>367</v>
      </c>
      <c r="E889" s="238" t="s">
        <v>368</v>
      </c>
      <c r="F889" s="243" t="str">
        <f t="shared" si="29"/>
        <v>2007-08 - Soil/sludge</v>
      </c>
      <c r="G889" s="244"/>
      <c r="H889" s="244"/>
      <c r="I889" s="244"/>
      <c r="J889" s="244"/>
      <c r="K889" s="244"/>
      <c r="L889" s="244"/>
      <c r="M889" s="244" t="s">
        <v>218</v>
      </c>
      <c r="N889" s="244"/>
      <c r="O889" s="244"/>
      <c r="P889" s="245"/>
    </row>
    <row r="890" spans="2:16" hidden="1">
      <c r="B890" s="238" t="s">
        <v>72</v>
      </c>
      <c r="C890" s="238" t="s">
        <v>83</v>
      </c>
      <c r="D890" s="238" t="s">
        <v>216</v>
      </c>
      <c r="E890" s="238" t="s">
        <v>369</v>
      </c>
      <c r="F890" s="243" t="str">
        <f t="shared" si="29"/>
        <v>2007-08 - Clinical &amp; pharmaceutical</v>
      </c>
      <c r="G890" s="244">
        <v>258.93</v>
      </c>
      <c r="H890" s="244"/>
      <c r="I890" s="244"/>
      <c r="J890" s="244"/>
      <c r="K890" s="244"/>
      <c r="L890" s="244"/>
      <c r="M890" s="244" t="s">
        <v>218</v>
      </c>
      <c r="N890" s="244"/>
      <c r="O890" s="244"/>
      <c r="P890" s="245"/>
    </row>
    <row r="891" spans="2:16" hidden="1">
      <c r="B891" s="238" t="s">
        <v>72</v>
      </c>
      <c r="C891" s="238" t="s">
        <v>83</v>
      </c>
      <c r="D891" s="238" t="s">
        <v>370</v>
      </c>
      <c r="E891" s="238" t="s">
        <v>371</v>
      </c>
      <c r="F891" s="243" t="str">
        <f t="shared" si="29"/>
        <v>2007-08 - Misc.</v>
      </c>
      <c r="G891" s="244"/>
      <c r="H891" s="244"/>
      <c r="I891" s="244"/>
      <c r="J891" s="244"/>
      <c r="K891" s="244"/>
      <c r="L891" s="244"/>
      <c r="M891" s="244" t="s">
        <v>218</v>
      </c>
      <c r="N891" s="244"/>
      <c r="O891" s="244"/>
      <c r="P891" s="245"/>
    </row>
    <row r="892" spans="2:16" hidden="1">
      <c r="B892" s="238" t="s">
        <v>72</v>
      </c>
      <c r="C892" s="238" t="s">
        <v>86</v>
      </c>
      <c r="D892" s="238" t="s">
        <v>157</v>
      </c>
      <c r="E892" s="238" t="s">
        <v>352</v>
      </c>
      <c r="F892" s="243" t="str">
        <f t="shared" si="29"/>
        <v>2006-07 - Plating &amp; heat treatment</v>
      </c>
      <c r="G892" s="244"/>
      <c r="H892" s="244"/>
      <c r="I892" s="244"/>
      <c r="J892" s="244"/>
      <c r="K892" s="244"/>
      <c r="L892" s="244"/>
      <c r="M892" s="244" t="s">
        <v>218</v>
      </c>
      <c r="N892" s="244"/>
      <c r="O892" s="244"/>
      <c r="P892" s="245"/>
    </row>
    <row r="893" spans="2:16" hidden="1">
      <c r="B893" s="238" t="s">
        <v>72</v>
      </c>
      <c r="C893" s="238" t="s">
        <v>86</v>
      </c>
      <c r="D893" s="238" t="s">
        <v>186</v>
      </c>
      <c r="E893" s="238" t="s">
        <v>353</v>
      </c>
      <c r="F893" s="243" t="str">
        <f t="shared" si="29"/>
        <v>2006-07 - Acids</v>
      </c>
      <c r="G893" s="244"/>
      <c r="H893" s="244"/>
      <c r="I893" s="244"/>
      <c r="J893" s="244"/>
      <c r="K893" s="244"/>
      <c r="L893" s="244"/>
      <c r="M893" s="244" t="s">
        <v>218</v>
      </c>
      <c r="N893" s="244"/>
      <c r="O893" s="244"/>
      <c r="P893" s="245"/>
    </row>
    <row r="894" spans="2:16" hidden="1">
      <c r="B894" s="238" t="s">
        <v>72</v>
      </c>
      <c r="C894" s="238" t="s">
        <v>86</v>
      </c>
      <c r="D894" s="238" t="s">
        <v>247</v>
      </c>
      <c r="E894" s="238" t="s">
        <v>354</v>
      </c>
      <c r="F894" s="243" t="str">
        <f t="shared" si="29"/>
        <v>2006-07 - Alkalis</v>
      </c>
      <c r="G894" s="244"/>
      <c r="H894" s="244"/>
      <c r="I894" s="244"/>
      <c r="J894" s="244"/>
      <c r="K894" s="244"/>
      <c r="L894" s="244"/>
      <c r="M894" s="244" t="s">
        <v>218</v>
      </c>
      <c r="N894" s="244"/>
      <c r="O894" s="244"/>
      <c r="P894" s="245"/>
    </row>
    <row r="895" spans="2:16">
      <c r="B895" s="238" t="s">
        <v>72</v>
      </c>
      <c r="C895" s="238" t="s">
        <v>86</v>
      </c>
      <c r="D895" s="238" t="s">
        <v>159</v>
      </c>
      <c r="E895" s="238" t="s">
        <v>355</v>
      </c>
      <c r="F895" s="243" t="str">
        <f t="shared" si="29"/>
        <v>2006-07 - Inorganic chemicals</v>
      </c>
      <c r="G895" s="244"/>
      <c r="H895" s="244"/>
      <c r="I895" s="244"/>
      <c r="J895" s="244"/>
      <c r="K895" s="244"/>
      <c r="L895" s="244"/>
      <c r="M895" s="244" t="s">
        <v>218</v>
      </c>
      <c r="N895" s="244"/>
      <c r="O895" s="244"/>
      <c r="P895" s="245"/>
    </row>
    <row r="896" spans="2:16" hidden="1">
      <c r="B896" s="238" t="s">
        <v>72</v>
      </c>
      <c r="C896" s="238" t="s">
        <v>86</v>
      </c>
      <c r="D896" s="238" t="s">
        <v>356</v>
      </c>
      <c r="E896" s="238" t="s">
        <v>357</v>
      </c>
      <c r="F896" s="243" t="str">
        <f t="shared" si="29"/>
        <v>2006-07 - Reactive chemicals</v>
      </c>
      <c r="G896" s="244"/>
      <c r="H896" s="244"/>
      <c r="I896" s="244"/>
      <c r="J896" s="244"/>
      <c r="K896" s="244"/>
      <c r="L896" s="244"/>
      <c r="M896" s="244" t="s">
        <v>218</v>
      </c>
      <c r="N896" s="244"/>
      <c r="O896" s="244"/>
      <c r="P896" s="245"/>
    </row>
    <row r="897" spans="2:16" hidden="1">
      <c r="B897" s="238" t="s">
        <v>72</v>
      </c>
      <c r="C897" s="238" t="s">
        <v>86</v>
      </c>
      <c r="D897" s="238" t="s">
        <v>161</v>
      </c>
      <c r="E897" s="238" t="s">
        <v>358</v>
      </c>
      <c r="F897" s="243" t="str">
        <f t="shared" si="29"/>
        <v>2006-07 - Paints, resins, inks organic sludges</v>
      </c>
      <c r="G897" s="244"/>
      <c r="H897" s="244"/>
      <c r="I897" s="244"/>
      <c r="J897" s="244"/>
      <c r="K897" s="244"/>
      <c r="L897" s="244"/>
      <c r="M897" s="244" t="s">
        <v>218</v>
      </c>
      <c r="N897" s="244"/>
      <c r="O897" s="244"/>
      <c r="P897" s="245"/>
    </row>
    <row r="898" spans="2:16" hidden="1">
      <c r="B898" s="238" t="s">
        <v>72</v>
      </c>
      <c r="C898" s="238" t="s">
        <v>86</v>
      </c>
      <c r="D898" s="238" t="s">
        <v>219</v>
      </c>
      <c r="E898" s="238" t="s">
        <v>359</v>
      </c>
      <c r="F898" s="243" t="str">
        <f t="shared" si="29"/>
        <v>2006-07 - Organic solvents</v>
      </c>
      <c r="G898" s="244"/>
      <c r="H898" s="244"/>
      <c r="I898" s="244"/>
      <c r="J898" s="244"/>
      <c r="K898" s="244"/>
      <c r="L898" s="244"/>
      <c r="M898" s="244" t="s">
        <v>218</v>
      </c>
      <c r="N898" s="244"/>
      <c r="O898" s="244"/>
      <c r="P898" s="245"/>
    </row>
    <row r="899" spans="2:16" hidden="1">
      <c r="B899" s="238" t="s">
        <v>72</v>
      </c>
      <c r="C899" s="238" t="s">
        <v>86</v>
      </c>
      <c r="D899" s="238" t="s">
        <v>228</v>
      </c>
      <c r="E899" s="238" t="s">
        <v>360</v>
      </c>
      <c r="F899" s="243" t="str">
        <f t="shared" si="29"/>
        <v>2006-07 - Pesticides</v>
      </c>
      <c r="G899" s="244"/>
      <c r="H899" s="244"/>
      <c r="I899" s="244"/>
      <c r="J899" s="244"/>
      <c r="K899" s="244"/>
      <c r="L899" s="244"/>
      <c r="M899" s="244" t="s">
        <v>218</v>
      </c>
      <c r="N899" s="244"/>
      <c r="O899" s="244"/>
      <c r="P899" s="245"/>
    </row>
    <row r="900" spans="2:16" hidden="1">
      <c r="B900" s="238" t="s">
        <v>72</v>
      </c>
      <c r="C900" s="238" t="s">
        <v>86</v>
      </c>
      <c r="D900" s="238" t="s">
        <v>231</v>
      </c>
      <c r="E900" s="238" t="s">
        <v>361</v>
      </c>
      <c r="F900" s="243" t="str">
        <f t="shared" si="29"/>
        <v>2006-07 - Oils</v>
      </c>
      <c r="G900" s="244">
        <v>71.8</v>
      </c>
      <c r="H900" s="244"/>
      <c r="I900" s="244">
        <v>25.3</v>
      </c>
      <c r="J900" s="244"/>
      <c r="K900" s="244"/>
      <c r="L900" s="244"/>
      <c r="M900" s="244" t="s">
        <v>218</v>
      </c>
      <c r="N900" s="244"/>
      <c r="O900" s="244"/>
      <c r="P900" s="245"/>
    </row>
    <row r="901" spans="2:16" hidden="1">
      <c r="B901" s="238" t="s">
        <v>72</v>
      </c>
      <c r="C901" s="238" t="s">
        <v>86</v>
      </c>
      <c r="D901" s="238" t="s">
        <v>362</v>
      </c>
      <c r="E901" s="238" t="s">
        <v>363</v>
      </c>
      <c r="F901" s="243" t="str">
        <f t="shared" si="29"/>
        <v>2006-07 - Putrescible/organic waste</v>
      </c>
      <c r="G901" s="244"/>
      <c r="H901" s="244"/>
      <c r="I901" s="244"/>
      <c r="J901" s="244"/>
      <c r="K901" s="244"/>
      <c r="L901" s="244"/>
      <c r="M901" s="244" t="s">
        <v>218</v>
      </c>
      <c r="N901" s="244"/>
      <c r="O901" s="244"/>
      <c r="P901" s="245"/>
    </row>
    <row r="902" spans="2:16" hidden="1">
      <c r="B902" s="238" t="s">
        <v>72</v>
      </c>
      <c r="C902" s="238" t="s">
        <v>86</v>
      </c>
      <c r="D902" s="238" t="s">
        <v>364</v>
      </c>
      <c r="E902" s="238" t="s">
        <v>365</v>
      </c>
      <c r="F902" s="243" t="str">
        <f t="shared" si="29"/>
        <v>2006-07 - Industrial washwater</v>
      </c>
      <c r="G902" s="244"/>
      <c r="H902" s="244"/>
      <c r="I902" s="244"/>
      <c r="J902" s="244"/>
      <c r="K902" s="244"/>
      <c r="L902" s="244"/>
      <c r="M902" s="244" t="s">
        <v>218</v>
      </c>
      <c r="N902" s="244"/>
      <c r="O902" s="244"/>
      <c r="P902" s="245"/>
    </row>
    <row r="903" spans="2:16" hidden="1">
      <c r="B903" s="238" t="s">
        <v>72</v>
      </c>
      <c r="C903" s="238" t="s">
        <v>86</v>
      </c>
      <c r="D903" s="238" t="s">
        <v>235</v>
      </c>
      <c r="E903" s="238" t="s">
        <v>366</v>
      </c>
      <c r="F903" s="243" t="str">
        <f t="shared" si="29"/>
        <v>2006-07 - Organic chemicals</v>
      </c>
      <c r="G903" s="244">
        <v>522.08000000000004</v>
      </c>
      <c r="H903" s="244">
        <v>5.68</v>
      </c>
      <c r="I903" s="244">
        <v>116.5</v>
      </c>
      <c r="J903" s="244"/>
      <c r="K903" s="244"/>
      <c r="L903" s="244"/>
      <c r="M903" s="244" t="s">
        <v>218</v>
      </c>
      <c r="N903" s="244"/>
      <c r="O903" s="244"/>
      <c r="P903" s="245"/>
    </row>
    <row r="904" spans="2:16" hidden="1">
      <c r="B904" s="238" t="s">
        <v>72</v>
      </c>
      <c r="C904" s="238" t="s">
        <v>86</v>
      </c>
      <c r="D904" s="238" t="s">
        <v>367</v>
      </c>
      <c r="E904" s="238" t="s">
        <v>368</v>
      </c>
      <c r="F904" s="243" t="str">
        <f t="shared" si="29"/>
        <v>2006-07 - Soil/sludge</v>
      </c>
      <c r="G904" s="244"/>
      <c r="H904" s="244"/>
      <c r="I904" s="244"/>
      <c r="J904" s="244"/>
      <c r="K904" s="244"/>
      <c r="L904" s="244"/>
      <c r="M904" s="244" t="s">
        <v>218</v>
      </c>
      <c r="N904" s="244"/>
      <c r="O904" s="244"/>
      <c r="P904" s="245"/>
    </row>
    <row r="905" spans="2:16" hidden="1">
      <c r="B905" s="238" t="s">
        <v>72</v>
      </c>
      <c r="C905" s="238" t="s">
        <v>86</v>
      </c>
      <c r="D905" s="238" t="s">
        <v>216</v>
      </c>
      <c r="E905" s="238" t="s">
        <v>369</v>
      </c>
      <c r="F905" s="243" t="str">
        <f t="shared" si="29"/>
        <v>2006-07 - Clinical &amp; pharmaceutical</v>
      </c>
      <c r="G905" s="244">
        <v>281.83999999999997</v>
      </c>
      <c r="H905" s="244"/>
      <c r="I905" s="244"/>
      <c r="J905" s="244"/>
      <c r="K905" s="244"/>
      <c r="L905" s="244"/>
      <c r="M905" s="244" t="s">
        <v>218</v>
      </c>
      <c r="N905" s="244"/>
      <c r="O905" s="244"/>
      <c r="P905" s="245"/>
    </row>
    <row r="906" spans="2:16" hidden="1">
      <c r="B906" s="238" t="s">
        <v>72</v>
      </c>
      <c r="C906" s="238" t="s">
        <v>86</v>
      </c>
      <c r="D906" s="238" t="s">
        <v>370</v>
      </c>
      <c r="E906" s="238" t="s">
        <v>371</v>
      </c>
      <c r="F906" s="243" t="str">
        <f t="shared" si="29"/>
        <v>2006-07 - Misc.</v>
      </c>
      <c r="G906" s="244"/>
      <c r="H906" s="244"/>
      <c r="I906" s="244"/>
      <c r="J906" s="244"/>
      <c r="K906" s="244"/>
      <c r="L906" s="244"/>
      <c r="M906" s="244" t="s">
        <v>218</v>
      </c>
      <c r="N906" s="244"/>
      <c r="O906" s="244"/>
      <c r="P906" s="245"/>
    </row>
    <row r="907" spans="2:16" hidden="1">
      <c r="B907" s="238" t="s">
        <v>73</v>
      </c>
      <c r="C907" s="238" t="s">
        <v>78</v>
      </c>
      <c r="D907" s="238" t="s">
        <v>157</v>
      </c>
      <c r="E907" s="238" t="s">
        <v>352</v>
      </c>
      <c r="F907" s="243" t="str">
        <f t="shared" si="29"/>
        <v>2012-13 - Plating &amp; heat treatment</v>
      </c>
      <c r="G907" s="244"/>
      <c r="H907" s="244"/>
      <c r="I907" s="244"/>
      <c r="J907" s="244"/>
      <c r="K907" s="244"/>
      <c r="L907" s="244"/>
      <c r="M907" s="244"/>
      <c r="N907" s="244" t="s">
        <v>218</v>
      </c>
      <c r="O907" s="244"/>
      <c r="P907" s="245"/>
    </row>
    <row r="908" spans="2:16" hidden="1">
      <c r="B908" s="238" t="s">
        <v>73</v>
      </c>
      <c r="C908" s="238" t="s">
        <v>78</v>
      </c>
      <c r="D908" s="238" t="s">
        <v>186</v>
      </c>
      <c r="E908" s="238" t="s">
        <v>353</v>
      </c>
      <c r="F908" s="243" t="str">
        <f t="shared" si="29"/>
        <v>2012-13 - Acids</v>
      </c>
      <c r="G908" s="244"/>
      <c r="H908" s="244"/>
      <c r="I908" s="244"/>
      <c r="J908" s="244"/>
      <c r="K908" s="244"/>
      <c r="L908" s="244"/>
      <c r="M908" s="244"/>
      <c r="N908" s="244" t="s">
        <v>218</v>
      </c>
      <c r="O908" s="244"/>
      <c r="P908" s="245"/>
    </row>
    <row r="909" spans="2:16" hidden="1">
      <c r="B909" s="238" t="s">
        <v>73</v>
      </c>
      <c r="C909" s="238" t="s">
        <v>78</v>
      </c>
      <c r="D909" s="238" t="s">
        <v>247</v>
      </c>
      <c r="E909" s="238" t="s">
        <v>354</v>
      </c>
      <c r="F909" s="243" t="str">
        <f t="shared" si="29"/>
        <v>2012-13 - Alkalis</v>
      </c>
      <c r="G909" s="244"/>
      <c r="H909" s="244"/>
      <c r="I909" s="244"/>
      <c r="J909" s="244"/>
      <c r="K909" s="244"/>
      <c r="L909" s="244"/>
      <c r="M909" s="244"/>
      <c r="N909" s="244" t="s">
        <v>218</v>
      </c>
      <c r="O909" s="244"/>
      <c r="P909" s="245"/>
    </row>
    <row r="910" spans="2:16">
      <c r="B910" s="238" t="s">
        <v>73</v>
      </c>
      <c r="C910" s="238" t="s">
        <v>78</v>
      </c>
      <c r="D910" s="238" t="s">
        <v>159</v>
      </c>
      <c r="E910" s="238" t="s">
        <v>355</v>
      </c>
      <c r="F910" s="243" t="str">
        <f t="shared" si="29"/>
        <v>2012-13 - Inorganic chemicals</v>
      </c>
      <c r="G910" s="244"/>
      <c r="H910" s="244"/>
      <c r="I910" s="244"/>
      <c r="J910" s="244"/>
      <c r="K910" s="244"/>
      <c r="L910" s="244"/>
      <c r="M910" s="244"/>
      <c r="N910" s="244" t="s">
        <v>218</v>
      </c>
      <c r="O910" s="244"/>
      <c r="P910" s="245"/>
    </row>
    <row r="911" spans="2:16" hidden="1">
      <c r="B911" s="238" t="s">
        <v>73</v>
      </c>
      <c r="C911" s="238" t="s">
        <v>78</v>
      </c>
      <c r="D911" s="238" t="s">
        <v>356</v>
      </c>
      <c r="E911" s="238" t="s">
        <v>357</v>
      </c>
      <c r="F911" s="243" t="str">
        <f t="shared" si="29"/>
        <v>2012-13 - Reactive chemicals</v>
      </c>
      <c r="G911" s="244"/>
      <c r="H911" s="244"/>
      <c r="I911" s="244"/>
      <c r="J911" s="244"/>
      <c r="K911" s="244"/>
      <c r="L911" s="244"/>
      <c r="M911" s="244"/>
      <c r="N911" s="244" t="s">
        <v>218</v>
      </c>
      <c r="O911" s="244"/>
      <c r="P911" s="245"/>
    </row>
    <row r="912" spans="2:16" hidden="1">
      <c r="B912" s="238" t="s">
        <v>73</v>
      </c>
      <c r="C912" s="238" t="s">
        <v>78</v>
      </c>
      <c r="D912" s="238" t="s">
        <v>161</v>
      </c>
      <c r="E912" s="238" t="s">
        <v>358</v>
      </c>
      <c r="F912" s="243" t="str">
        <f t="shared" si="29"/>
        <v>2012-13 - Paints, resins, inks organic sludges</v>
      </c>
      <c r="G912" s="244"/>
      <c r="H912" s="244"/>
      <c r="I912" s="244"/>
      <c r="J912" s="244"/>
      <c r="K912" s="244"/>
      <c r="L912" s="244"/>
      <c r="M912" s="244"/>
      <c r="N912" s="244" t="s">
        <v>218</v>
      </c>
      <c r="O912" s="244"/>
      <c r="P912" s="245"/>
    </row>
    <row r="913" spans="2:16" hidden="1">
      <c r="B913" s="238" t="s">
        <v>73</v>
      </c>
      <c r="C913" s="238" t="s">
        <v>78</v>
      </c>
      <c r="D913" s="238" t="s">
        <v>219</v>
      </c>
      <c r="E913" s="238" t="s">
        <v>359</v>
      </c>
      <c r="F913" s="243" t="str">
        <f t="shared" si="29"/>
        <v>2012-13 - Organic solvents</v>
      </c>
      <c r="G913" s="244"/>
      <c r="H913" s="244"/>
      <c r="I913" s="244"/>
      <c r="J913" s="244"/>
      <c r="K913" s="244"/>
      <c r="L913" s="244"/>
      <c r="M913" s="244"/>
      <c r="N913" s="244" t="s">
        <v>218</v>
      </c>
      <c r="O913" s="244"/>
      <c r="P913" s="245"/>
    </row>
    <row r="914" spans="2:16" hidden="1">
      <c r="B914" s="238" t="s">
        <v>73</v>
      </c>
      <c r="C914" s="238" t="s">
        <v>78</v>
      </c>
      <c r="D914" s="238" t="s">
        <v>228</v>
      </c>
      <c r="E914" s="238" t="s">
        <v>360</v>
      </c>
      <c r="F914" s="243" t="str">
        <f t="shared" si="29"/>
        <v>2012-13 - Pesticides</v>
      </c>
      <c r="G914" s="244"/>
      <c r="H914" s="244"/>
      <c r="I914" s="244"/>
      <c r="J914" s="244"/>
      <c r="K914" s="244"/>
      <c r="L914" s="244"/>
      <c r="M914" s="244"/>
      <c r="N914" s="244" t="s">
        <v>218</v>
      </c>
      <c r="O914" s="244"/>
      <c r="P914" s="245"/>
    </row>
    <row r="915" spans="2:16" hidden="1">
      <c r="B915" s="238" t="s">
        <v>73</v>
      </c>
      <c r="C915" s="238" t="s">
        <v>78</v>
      </c>
      <c r="D915" s="238" t="s">
        <v>231</v>
      </c>
      <c r="E915" s="238" t="s">
        <v>361</v>
      </c>
      <c r="F915" s="243" t="str">
        <f t="shared" si="29"/>
        <v>2012-13 - Oils</v>
      </c>
      <c r="G915" s="244"/>
      <c r="H915" s="244"/>
      <c r="I915" s="244"/>
      <c r="J915" s="244"/>
      <c r="K915" s="244"/>
      <c r="L915" s="244"/>
      <c r="M915" s="244"/>
      <c r="N915" s="244" t="s">
        <v>218</v>
      </c>
      <c r="O915" s="244"/>
      <c r="P915" s="245"/>
    </row>
    <row r="916" spans="2:16" hidden="1">
      <c r="B916" s="238" t="s">
        <v>73</v>
      </c>
      <c r="C916" s="238" t="s">
        <v>78</v>
      </c>
      <c r="D916" s="238" t="s">
        <v>362</v>
      </c>
      <c r="E916" s="238" t="s">
        <v>363</v>
      </c>
      <c r="F916" s="243" t="str">
        <f t="shared" si="29"/>
        <v>2012-13 - Putrescible/organic waste</v>
      </c>
      <c r="G916" s="244"/>
      <c r="H916" s="244"/>
      <c r="I916" s="244"/>
      <c r="J916" s="244"/>
      <c r="K916" s="244"/>
      <c r="L916" s="244"/>
      <c r="M916" s="244"/>
      <c r="N916" s="244" t="s">
        <v>218</v>
      </c>
      <c r="O916" s="244"/>
      <c r="P916" s="245"/>
    </row>
    <row r="917" spans="2:16" hidden="1">
      <c r="B917" s="238" t="s">
        <v>73</v>
      </c>
      <c r="C917" s="238" t="s">
        <v>78</v>
      </c>
      <c r="D917" s="238" t="s">
        <v>364</v>
      </c>
      <c r="E917" s="238" t="s">
        <v>365</v>
      </c>
      <c r="F917" s="243" t="str">
        <f t="shared" si="29"/>
        <v>2012-13 - Industrial washwater</v>
      </c>
      <c r="G917" s="244"/>
      <c r="H917" s="244"/>
      <c r="I917" s="244"/>
      <c r="J917" s="244"/>
      <c r="K917" s="244"/>
      <c r="L917" s="244"/>
      <c r="M917" s="244"/>
      <c r="N917" s="244" t="s">
        <v>218</v>
      </c>
      <c r="O917" s="244"/>
      <c r="P917" s="245"/>
    </row>
    <row r="918" spans="2:16" hidden="1">
      <c r="B918" s="238" t="s">
        <v>73</v>
      </c>
      <c r="C918" s="238" t="s">
        <v>78</v>
      </c>
      <c r="D918" s="238" t="s">
        <v>235</v>
      </c>
      <c r="E918" s="238" t="s">
        <v>366</v>
      </c>
      <c r="F918" s="243" t="str">
        <f t="shared" si="29"/>
        <v>2012-13 - Organic chemicals</v>
      </c>
      <c r="G918" s="244"/>
      <c r="H918" s="244"/>
      <c r="I918" s="244"/>
      <c r="J918" s="244"/>
      <c r="K918" s="244"/>
      <c r="L918" s="244"/>
      <c r="M918" s="244"/>
      <c r="N918" s="244" t="s">
        <v>218</v>
      </c>
      <c r="O918" s="244"/>
      <c r="P918" s="245"/>
    </row>
    <row r="919" spans="2:16" hidden="1">
      <c r="B919" s="238" t="s">
        <v>73</v>
      </c>
      <c r="C919" s="238" t="s">
        <v>78</v>
      </c>
      <c r="D919" s="238" t="s">
        <v>367</v>
      </c>
      <c r="E919" s="238" t="s">
        <v>368</v>
      </c>
      <c r="F919" s="243" t="str">
        <f t="shared" si="29"/>
        <v>2012-13 - Soil/sludge</v>
      </c>
      <c r="G919" s="244"/>
      <c r="H919" s="244"/>
      <c r="I919" s="244"/>
      <c r="J919" s="244"/>
      <c r="K919" s="244"/>
      <c r="L919" s="244"/>
      <c r="M919" s="244"/>
      <c r="N919" s="244" t="s">
        <v>218</v>
      </c>
      <c r="O919" s="244"/>
      <c r="P919" s="245"/>
    </row>
    <row r="920" spans="2:16" hidden="1">
      <c r="B920" s="238" t="s">
        <v>73</v>
      </c>
      <c r="C920" s="238" t="s">
        <v>78</v>
      </c>
      <c r="D920" s="238" t="s">
        <v>216</v>
      </c>
      <c r="E920" s="238" t="s">
        <v>369</v>
      </c>
      <c r="F920" s="243" t="str">
        <f t="shared" si="29"/>
        <v>2012-13 - Clinical &amp; pharmaceutical</v>
      </c>
      <c r="G920" s="244"/>
      <c r="H920" s="244"/>
      <c r="I920" s="244"/>
      <c r="J920" s="244"/>
      <c r="K920" s="244"/>
      <c r="L920" s="244"/>
      <c r="M920" s="244"/>
      <c r="N920" s="244" t="s">
        <v>218</v>
      </c>
      <c r="O920" s="244"/>
      <c r="P920" s="245"/>
    </row>
    <row r="921" spans="2:16" hidden="1">
      <c r="B921" s="238" t="s">
        <v>73</v>
      </c>
      <c r="C921" s="238" t="s">
        <v>78</v>
      </c>
      <c r="D921" s="238" t="s">
        <v>370</v>
      </c>
      <c r="E921" s="238" t="s">
        <v>371</v>
      </c>
      <c r="F921" s="243" t="str">
        <f t="shared" si="29"/>
        <v>2012-13 - Misc.</v>
      </c>
      <c r="G921" s="244"/>
      <c r="H921" s="244"/>
      <c r="I921" s="244"/>
      <c r="J921" s="244"/>
      <c r="K921" s="244"/>
      <c r="L921" s="244"/>
      <c r="M921" s="244"/>
      <c r="N921" s="244" t="s">
        <v>218</v>
      </c>
      <c r="O921" s="244"/>
      <c r="P921" s="245"/>
    </row>
    <row r="922" spans="2:16" hidden="1">
      <c r="B922" s="238" t="s">
        <v>73</v>
      </c>
      <c r="C922" s="238" t="s">
        <v>79</v>
      </c>
      <c r="D922" s="238" t="s">
        <v>157</v>
      </c>
      <c r="E922" s="238" t="s">
        <v>352</v>
      </c>
      <c r="F922" s="243" t="str">
        <f t="shared" si="29"/>
        <v>2011-12 - Plating &amp; heat treatment</v>
      </c>
      <c r="G922" s="244" t="s">
        <v>381</v>
      </c>
      <c r="H922" s="244" t="s">
        <v>381</v>
      </c>
      <c r="I922" s="244" t="s">
        <v>381</v>
      </c>
      <c r="J922" s="244" t="s">
        <v>381</v>
      </c>
      <c r="K922" s="244" t="s">
        <v>381</v>
      </c>
      <c r="L922" s="244" t="s">
        <v>381</v>
      </c>
      <c r="M922" s="244" t="s">
        <v>381</v>
      </c>
      <c r="N922" s="244" t="s">
        <v>218</v>
      </c>
      <c r="O922" s="244" t="s">
        <v>381</v>
      </c>
      <c r="P922" s="245"/>
    </row>
    <row r="923" spans="2:16" hidden="1">
      <c r="B923" s="238" t="s">
        <v>73</v>
      </c>
      <c r="C923" s="238" t="s">
        <v>79</v>
      </c>
      <c r="D923" s="238" t="s">
        <v>186</v>
      </c>
      <c r="E923" s="238" t="s">
        <v>353</v>
      </c>
      <c r="F923" s="243" t="str">
        <f t="shared" si="29"/>
        <v>2011-12 - Acids</v>
      </c>
      <c r="G923" s="244" t="s">
        <v>381</v>
      </c>
      <c r="H923" s="244" t="s">
        <v>381</v>
      </c>
      <c r="I923" s="244" t="s">
        <v>381</v>
      </c>
      <c r="J923" s="244" t="s">
        <v>381</v>
      </c>
      <c r="K923" s="244" t="s">
        <v>381</v>
      </c>
      <c r="L923" s="244" t="s">
        <v>381</v>
      </c>
      <c r="M923" s="244" t="s">
        <v>381</v>
      </c>
      <c r="N923" s="244" t="s">
        <v>218</v>
      </c>
      <c r="O923" s="244" t="s">
        <v>381</v>
      </c>
      <c r="P923" s="245"/>
    </row>
    <row r="924" spans="2:16" hidden="1">
      <c r="B924" s="238" t="s">
        <v>73</v>
      </c>
      <c r="C924" s="238" t="s">
        <v>79</v>
      </c>
      <c r="D924" s="238" t="s">
        <v>247</v>
      </c>
      <c r="E924" s="238" t="s">
        <v>354</v>
      </c>
      <c r="F924" s="243" t="str">
        <f t="shared" si="29"/>
        <v>2011-12 - Alkalis</v>
      </c>
      <c r="G924" s="244" t="s">
        <v>381</v>
      </c>
      <c r="H924" s="244" t="s">
        <v>381</v>
      </c>
      <c r="I924" s="244" t="s">
        <v>381</v>
      </c>
      <c r="J924" s="244" t="s">
        <v>381</v>
      </c>
      <c r="K924" s="244" t="s">
        <v>381</v>
      </c>
      <c r="L924" s="244" t="s">
        <v>381</v>
      </c>
      <c r="M924" s="244" t="s">
        <v>381</v>
      </c>
      <c r="N924" s="244" t="s">
        <v>218</v>
      </c>
      <c r="O924" s="244" t="s">
        <v>381</v>
      </c>
      <c r="P924" s="245"/>
    </row>
    <row r="925" spans="2:16">
      <c r="B925" s="238" t="s">
        <v>73</v>
      </c>
      <c r="C925" s="238" t="s">
        <v>79</v>
      </c>
      <c r="D925" s="238" t="s">
        <v>159</v>
      </c>
      <c r="E925" s="238" t="s">
        <v>355</v>
      </c>
      <c r="F925" s="243" t="str">
        <f t="shared" si="29"/>
        <v>2011-12 - Inorganic chemicals</v>
      </c>
      <c r="G925" s="244" t="s">
        <v>381</v>
      </c>
      <c r="H925" s="244" t="s">
        <v>381</v>
      </c>
      <c r="I925" s="244" t="s">
        <v>381</v>
      </c>
      <c r="J925" s="244" t="s">
        <v>381</v>
      </c>
      <c r="K925" s="244" t="s">
        <v>381</v>
      </c>
      <c r="L925" s="244" t="s">
        <v>381</v>
      </c>
      <c r="M925" s="244" t="s">
        <v>381</v>
      </c>
      <c r="N925" s="244" t="s">
        <v>218</v>
      </c>
      <c r="O925" s="244" t="s">
        <v>381</v>
      </c>
      <c r="P925" s="245"/>
    </row>
    <row r="926" spans="2:16" hidden="1">
      <c r="B926" s="238" t="s">
        <v>73</v>
      </c>
      <c r="C926" s="238" t="s">
        <v>79</v>
      </c>
      <c r="D926" s="238" t="s">
        <v>356</v>
      </c>
      <c r="E926" s="238" t="s">
        <v>357</v>
      </c>
      <c r="F926" s="243" t="str">
        <f t="shared" si="29"/>
        <v>2011-12 - Reactive chemicals</v>
      </c>
      <c r="G926" s="244" t="s">
        <v>381</v>
      </c>
      <c r="H926" s="244" t="s">
        <v>381</v>
      </c>
      <c r="I926" s="244" t="s">
        <v>381</v>
      </c>
      <c r="J926" s="244" t="s">
        <v>381</v>
      </c>
      <c r="K926" s="244" t="s">
        <v>381</v>
      </c>
      <c r="L926" s="244" t="s">
        <v>381</v>
      </c>
      <c r="M926" s="244" t="s">
        <v>381</v>
      </c>
      <c r="N926" s="244" t="s">
        <v>218</v>
      </c>
      <c r="O926" s="244" t="s">
        <v>381</v>
      </c>
      <c r="P926" s="245"/>
    </row>
    <row r="927" spans="2:16" hidden="1">
      <c r="B927" s="238" t="s">
        <v>73</v>
      </c>
      <c r="C927" s="238" t="s">
        <v>79</v>
      </c>
      <c r="D927" s="238" t="s">
        <v>161</v>
      </c>
      <c r="E927" s="238" t="s">
        <v>358</v>
      </c>
      <c r="F927" s="243" t="str">
        <f t="shared" si="29"/>
        <v>2011-12 - Paints, resins, inks organic sludges</v>
      </c>
      <c r="G927" s="244" t="s">
        <v>381</v>
      </c>
      <c r="H927" s="244" t="s">
        <v>381</v>
      </c>
      <c r="I927" s="244" t="s">
        <v>381</v>
      </c>
      <c r="J927" s="244" t="s">
        <v>381</v>
      </c>
      <c r="K927" s="244" t="s">
        <v>382</v>
      </c>
      <c r="L927" s="244" t="s">
        <v>381</v>
      </c>
      <c r="M927" s="244" t="s">
        <v>381</v>
      </c>
      <c r="N927" s="244" t="s">
        <v>218</v>
      </c>
      <c r="O927" s="244" t="s">
        <v>381</v>
      </c>
      <c r="P927" s="245"/>
    </row>
    <row r="928" spans="2:16" hidden="1">
      <c r="B928" s="238" t="s">
        <v>73</v>
      </c>
      <c r="C928" s="238" t="s">
        <v>79</v>
      </c>
      <c r="D928" s="238" t="s">
        <v>219</v>
      </c>
      <c r="E928" s="238" t="s">
        <v>359</v>
      </c>
      <c r="F928" s="243" t="str">
        <f t="shared" si="29"/>
        <v>2011-12 - Organic solvents</v>
      </c>
      <c r="G928" s="244" t="s">
        <v>381</v>
      </c>
      <c r="H928" s="244" t="s">
        <v>381</v>
      </c>
      <c r="I928" s="244" t="s">
        <v>381</v>
      </c>
      <c r="J928" s="244" t="s">
        <v>381</v>
      </c>
      <c r="K928" s="244" t="s">
        <v>382</v>
      </c>
      <c r="L928" s="244" t="s">
        <v>381</v>
      </c>
      <c r="M928" s="244" t="s">
        <v>381</v>
      </c>
      <c r="N928" s="244" t="s">
        <v>218</v>
      </c>
      <c r="O928" s="244" t="s">
        <v>381</v>
      </c>
      <c r="P928" s="245"/>
    </row>
    <row r="929" spans="2:16" hidden="1">
      <c r="B929" s="238" t="s">
        <v>73</v>
      </c>
      <c r="C929" s="238" t="s">
        <v>79</v>
      </c>
      <c r="D929" s="238" t="s">
        <v>228</v>
      </c>
      <c r="E929" s="238" t="s">
        <v>360</v>
      </c>
      <c r="F929" s="243" t="str">
        <f t="shared" si="29"/>
        <v>2011-12 - Pesticides</v>
      </c>
      <c r="G929" s="244" t="s">
        <v>381</v>
      </c>
      <c r="H929" s="244" t="s">
        <v>381</v>
      </c>
      <c r="I929" s="244" t="s">
        <v>381</v>
      </c>
      <c r="J929" s="244" t="s">
        <v>381</v>
      </c>
      <c r="K929" s="244" t="s">
        <v>382</v>
      </c>
      <c r="L929" s="244" t="s">
        <v>381</v>
      </c>
      <c r="M929" s="244" t="s">
        <v>381</v>
      </c>
      <c r="N929" s="244" t="s">
        <v>218</v>
      </c>
      <c r="O929" s="244" t="s">
        <v>381</v>
      </c>
      <c r="P929" s="245"/>
    </row>
    <row r="930" spans="2:16" hidden="1">
      <c r="B930" s="238" t="s">
        <v>73</v>
      </c>
      <c r="C930" s="238" t="s">
        <v>79</v>
      </c>
      <c r="D930" s="238" t="s">
        <v>231</v>
      </c>
      <c r="E930" s="238" t="s">
        <v>361</v>
      </c>
      <c r="F930" s="243" t="str">
        <f t="shared" si="29"/>
        <v>2011-12 - Oils</v>
      </c>
      <c r="G930" s="244" t="s">
        <v>381</v>
      </c>
      <c r="H930" s="244" t="s">
        <v>381</v>
      </c>
      <c r="I930" s="244" t="s">
        <v>381</v>
      </c>
      <c r="J930" s="244" t="s">
        <v>381</v>
      </c>
      <c r="K930" s="244" t="s">
        <v>382</v>
      </c>
      <c r="L930" s="244" t="s">
        <v>381</v>
      </c>
      <c r="M930" s="244" t="s">
        <v>381</v>
      </c>
      <c r="N930" s="244" t="s">
        <v>218</v>
      </c>
      <c r="O930" s="244" t="s">
        <v>381</v>
      </c>
      <c r="P930" s="245"/>
    </row>
    <row r="931" spans="2:16" hidden="1">
      <c r="B931" s="238" t="s">
        <v>73</v>
      </c>
      <c r="C931" s="238" t="s">
        <v>79</v>
      </c>
      <c r="D931" s="238" t="s">
        <v>362</v>
      </c>
      <c r="E931" s="238" t="s">
        <v>363</v>
      </c>
      <c r="F931" s="243" t="str">
        <f t="shared" si="29"/>
        <v>2011-12 - Putrescible/organic waste</v>
      </c>
      <c r="G931" s="244" t="s">
        <v>381</v>
      </c>
      <c r="H931" s="244" t="s">
        <v>381</v>
      </c>
      <c r="I931" s="244" t="s">
        <v>381</v>
      </c>
      <c r="J931" s="244" t="s">
        <v>381</v>
      </c>
      <c r="K931" s="244" t="s">
        <v>381</v>
      </c>
      <c r="L931" s="244" t="s">
        <v>381</v>
      </c>
      <c r="M931" s="244" t="s">
        <v>381</v>
      </c>
      <c r="N931" s="244" t="s">
        <v>218</v>
      </c>
      <c r="O931" s="244" t="s">
        <v>381</v>
      </c>
      <c r="P931" s="245"/>
    </row>
    <row r="932" spans="2:16" hidden="1">
      <c r="B932" s="238" t="s">
        <v>73</v>
      </c>
      <c r="C932" s="238" t="s">
        <v>79</v>
      </c>
      <c r="D932" s="238" t="s">
        <v>364</v>
      </c>
      <c r="E932" s="238" t="s">
        <v>365</v>
      </c>
      <c r="F932" s="243" t="str">
        <f t="shared" si="29"/>
        <v>2011-12 - Industrial washwater</v>
      </c>
      <c r="G932" s="244" t="s">
        <v>381</v>
      </c>
      <c r="H932" s="244" t="s">
        <v>381</v>
      </c>
      <c r="I932" s="244" t="s">
        <v>381</v>
      </c>
      <c r="J932" s="244" t="s">
        <v>381</v>
      </c>
      <c r="K932" s="244" t="s">
        <v>381</v>
      </c>
      <c r="L932" s="244" t="s">
        <v>381</v>
      </c>
      <c r="M932" s="244" t="s">
        <v>381</v>
      </c>
      <c r="N932" s="244" t="s">
        <v>218</v>
      </c>
      <c r="O932" s="244" t="s">
        <v>381</v>
      </c>
      <c r="P932" s="245"/>
    </row>
    <row r="933" spans="2:16" hidden="1">
      <c r="B933" s="238" t="s">
        <v>73</v>
      </c>
      <c r="C933" s="238" t="s">
        <v>79</v>
      </c>
      <c r="D933" s="238" t="s">
        <v>235</v>
      </c>
      <c r="E933" s="238" t="s">
        <v>366</v>
      </c>
      <c r="F933" s="243" t="str">
        <f t="shared" si="29"/>
        <v>2011-12 - Organic chemicals</v>
      </c>
      <c r="G933" s="244" t="s">
        <v>381</v>
      </c>
      <c r="H933" s="244" t="s">
        <v>381</v>
      </c>
      <c r="I933" s="244" t="s">
        <v>381</v>
      </c>
      <c r="J933" s="244" t="s">
        <v>381</v>
      </c>
      <c r="K933" s="244" t="s">
        <v>381</v>
      </c>
      <c r="L933" s="244" t="s">
        <v>381</v>
      </c>
      <c r="M933" s="244" t="s">
        <v>381</v>
      </c>
      <c r="N933" s="244" t="s">
        <v>218</v>
      </c>
      <c r="O933" s="244" t="s">
        <v>381</v>
      </c>
      <c r="P933" s="245"/>
    </row>
    <row r="934" spans="2:16" hidden="1">
      <c r="B934" s="238" t="s">
        <v>73</v>
      </c>
      <c r="C934" s="238" t="s">
        <v>79</v>
      </c>
      <c r="D934" s="238" t="s">
        <v>367</v>
      </c>
      <c r="E934" s="238" t="s">
        <v>368</v>
      </c>
      <c r="F934" s="243" t="str">
        <f t="shared" si="29"/>
        <v>2011-12 - Soil/sludge</v>
      </c>
      <c r="G934" s="244" t="s">
        <v>381</v>
      </c>
      <c r="H934" s="244" t="s">
        <v>381</v>
      </c>
      <c r="I934" s="244" t="s">
        <v>381</v>
      </c>
      <c r="J934" s="244" t="s">
        <v>381</v>
      </c>
      <c r="K934" s="244" t="s">
        <v>381</v>
      </c>
      <c r="L934" s="244" t="s">
        <v>381</v>
      </c>
      <c r="M934" s="244" t="s">
        <v>381</v>
      </c>
      <c r="N934" s="244" t="s">
        <v>218</v>
      </c>
      <c r="O934" s="244" t="s">
        <v>382</v>
      </c>
      <c r="P934" s="245"/>
    </row>
    <row r="935" spans="2:16" hidden="1">
      <c r="B935" s="238" t="s">
        <v>73</v>
      </c>
      <c r="C935" s="238" t="s">
        <v>79</v>
      </c>
      <c r="D935" s="238" t="s">
        <v>216</v>
      </c>
      <c r="E935" s="238" t="s">
        <v>369</v>
      </c>
      <c r="F935" s="243" t="str">
        <f t="shared" si="29"/>
        <v>2011-12 - Clinical &amp; pharmaceutical</v>
      </c>
      <c r="G935" s="244" t="s">
        <v>381</v>
      </c>
      <c r="H935" s="244" t="s">
        <v>381</v>
      </c>
      <c r="I935" s="244" t="s">
        <v>381</v>
      </c>
      <c r="J935" s="244" t="s">
        <v>381</v>
      </c>
      <c r="K935" s="244" t="s">
        <v>381</v>
      </c>
      <c r="L935" s="244" t="s">
        <v>381</v>
      </c>
      <c r="M935" s="244" t="s">
        <v>381</v>
      </c>
      <c r="N935" s="244" t="s">
        <v>218</v>
      </c>
      <c r="O935" s="244" t="s">
        <v>381</v>
      </c>
      <c r="P935" s="245"/>
    </row>
    <row r="936" spans="2:16" hidden="1">
      <c r="B936" s="238" t="s">
        <v>73</v>
      </c>
      <c r="C936" s="238" t="s">
        <v>79</v>
      </c>
      <c r="D936" s="238" t="s">
        <v>370</v>
      </c>
      <c r="E936" s="238" t="s">
        <v>371</v>
      </c>
      <c r="F936" s="243" t="str">
        <f t="shared" si="29"/>
        <v>2011-12 - Misc.</v>
      </c>
      <c r="G936" s="244" t="s">
        <v>381</v>
      </c>
      <c r="H936" s="244" t="s">
        <v>381</v>
      </c>
      <c r="I936" s="244" t="s">
        <v>381</v>
      </c>
      <c r="J936" s="244" t="s">
        <v>381</v>
      </c>
      <c r="K936" s="244" t="s">
        <v>381</v>
      </c>
      <c r="L936" s="244" t="s">
        <v>381</v>
      </c>
      <c r="M936" s="244" t="s">
        <v>381</v>
      </c>
      <c r="N936" s="244" t="s">
        <v>218</v>
      </c>
      <c r="O936" s="244" t="s">
        <v>381</v>
      </c>
      <c r="P936" s="245"/>
    </row>
    <row r="937" spans="2:16" hidden="1">
      <c r="B937" s="238" t="s">
        <v>73</v>
      </c>
      <c r="C937" s="238" t="s">
        <v>80</v>
      </c>
      <c r="D937" s="238" t="s">
        <v>157</v>
      </c>
      <c r="E937" s="238" t="s">
        <v>352</v>
      </c>
      <c r="F937" s="243" t="str">
        <f t="shared" si="29"/>
        <v>2010-11 - Plating &amp; heat treatment</v>
      </c>
      <c r="G937" s="244"/>
      <c r="H937" s="244"/>
      <c r="I937" s="244"/>
      <c r="J937" s="244"/>
      <c r="K937" s="244"/>
      <c r="L937" s="244"/>
      <c r="M937" s="244"/>
      <c r="N937" s="244" t="s">
        <v>218</v>
      </c>
      <c r="O937" s="244"/>
      <c r="P937" s="245"/>
    </row>
    <row r="938" spans="2:16" hidden="1">
      <c r="B938" s="238" t="s">
        <v>73</v>
      </c>
      <c r="C938" s="238" t="s">
        <v>80</v>
      </c>
      <c r="D938" s="238" t="s">
        <v>186</v>
      </c>
      <c r="E938" s="238" t="s">
        <v>353</v>
      </c>
      <c r="F938" s="243" t="str">
        <f t="shared" si="29"/>
        <v>2010-11 - Acids</v>
      </c>
      <c r="G938" s="244"/>
      <c r="H938" s="244"/>
      <c r="I938" s="244"/>
      <c r="J938" s="244"/>
      <c r="K938" s="244"/>
      <c r="L938" s="244"/>
      <c r="M938" s="244"/>
      <c r="N938" s="244" t="s">
        <v>218</v>
      </c>
      <c r="O938" s="244"/>
      <c r="P938" s="245"/>
    </row>
    <row r="939" spans="2:16" hidden="1">
      <c r="B939" s="238" t="s">
        <v>73</v>
      </c>
      <c r="C939" s="238" t="s">
        <v>80</v>
      </c>
      <c r="D939" s="238" t="s">
        <v>247</v>
      </c>
      <c r="E939" s="238" t="s">
        <v>354</v>
      </c>
      <c r="F939" s="243" t="str">
        <f t="shared" si="29"/>
        <v>2010-11 - Alkalis</v>
      </c>
      <c r="G939" s="244"/>
      <c r="H939" s="244"/>
      <c r="I939" s="244"/>
      <c r="J939" s="244"/>
      <c r="K939" s="244"/>
      <c r="L939" s="244"/>
      <c r="M939" s="244"/>
      <c r="N939" s="244" t="s">
        <v>218</v>
      </c>
      <c r="O939" s="244"/>
      <c r="P939" s="245"/>
    </row>
    <row r="940" spans="2:16">
      <c r="B940" s="238" t="s">
        <v>73</v>
      </c>
      <c r="C940" s="238" t="s">
        <v>80</v>
      </c>
      <c r="D940" s="238" t="s">
        <v>159</v>
      </c>
      <c r="E940" s="238" t="s">
        <v>355</v>
      </c>
      <c r="F940" s="243" t="str">
        <f t="shared" ref="F940:F1003" si="30">CONCATENATE(C940," - ",E940)</f>
        <v>2010-11 - Inorganic chemicals</v>
      </c>
      <c r="G940" s="244"/>
      <c r="H940" s="244"/>
      <c r="I940" s="244"/>
      <c r="J940" s="244"/>
      <c r="K940" s="244"/>
      <c r="L940" s="244"/>
      <c r="M940" s="244"/>
      <c r="N940" s="244" t="s">
        <v>218</v>
      </c>
      <c r="O940" s="244"/>
      <c r="P940" s="245"/>
    </row>
    <row r="941" spans="2:16" hidden="1">
      <c r="B941" s="238" t="s">
        <v>73</v>
      </c>
      <c r="C941" s="238" t="s">
        <v>80</v>
      </c>
      <c r="D941" s="238" t="s">
        <v>356</v>
      </c>
      <c r="E941" s="238" t="s">
        <v>357</v>
      </c>
      <c r="F941" s="243" t="str">
        <f t="shared" si="30"/>
        <v>2010-11 - Reactive chemicals</v>
      </c>
      <c r="G941" s="244"/>
      <c r="H941" s="244"/>
      <c r="I941" s="244"/>
      <c r="J941" s="244"/>
      <c r="K941" s="244"/>
      <c r="L941" s="244"/>
      <c r="M941" s="244"/>
      <c r="N941" s="244" t="s">
        <v>218</v>
      </c>
      <c r="O941" s="244"/>
      <c r="P941" s="245"/>
    </row>
    <row r="942" spans="2:16" hidden="1">
      <c r="B942" s="238" t="s">
        <v>73</v>
      </c>
      <c r="C942" s="238" t="s">
        <v>80</v>
      </c>
      <c r="D942" s="238" t="s">
        <v>161</v>
      </c>
      <c r="E942" s="238" t="s">
        <v>358</v>
      </c>
      <c r="F942" s="243" t="str">
        <f t="shared" si="30"/>
        <v>2010-11 - Paints, resins, inks organic sludges</v>
      </c>
      <c r="G942" s="244"/>
      <c r="H942" s="244"/>
      <c r="I942" s="244"/>
      <c r="J942" s="244"/>
      <c r="K942" s="244"/>
      <c r="L942" s="244"/>
      <c r="M942" s="244"/>
      <c r="N942" s="244" t="s">
        <v>218</v>
      </c>
      <c r="O942" s="244"/>
      <c r="P942" s="245"/>
    </row>
    <row r="943" spans="2:16" hidden="1">
      <c r="B943" s="238" t="s">
        <v>73</v>
      </c>
      <c r="C943" s="238" t="s">
        <v>80</v>
      </c>
      <c r="D943" s="238" t="s">
        <v>219</v>
      </c>
      <c r="E943" s="238" t="s">
        <v>359</v>
      </c>
      <c r="F943" s="243" t="str">
        <f t="shared" si="30"/>
        <v>2010-11 - Organic solvents</v>
      </c>
      <c r="G943" s="244"/>
      <c r="H943" s="244"/>
      <c r="I943" s="244"/>
      <c r="J943" s="244"/>
      <c r="K943" s="244"/>
      <c r="L943" s="244"/>
      <c r="M943" s="244"/>
      <c r="N943" s="244" t="s">
        <v>218</v>
      </c>
      <c r="O943" s="244"/>
      <c r="P943" s="245"/>
    </row>
    <row r="944" spans="2:16" hidden="1">
      <c r="B944" s="238" t="s">
        <v>73</v>
      </c>
      <c r="C944" s="238" t="s">
        <v>80</v>
      </c>
      <c r="D944" s="238" t="s">
        <v>228</v>
      </c>
      <c r="E944" s="238" t="s">
        <v>360</v>
      </c>
      <c r="F944" s="243" t="str">
        <f t="shared" si="30"/>
        <v>2010-11 - Pesticides</v>
      </c>
      <c r="G944" s="244"/>
      <c r="H944" s="244"/>
      <c r="I944" s="244"/>
      <c r="J944" s="244"/>
      <c r="K944" s="244"/>
      <c r="L944" s="244"/>
      <c r="M944" s="244"/>
      <c r="N944" s="244" t="s">
        <v>218</v>
      </c>
      <c r="O944" s="244"/>
      <c r="P944" s="245"/>
    </row>
    <row r="945" spans="2:16" hidden="1">
      <c r="B945" s="238" t="s">
        <v>73</v>
      </c>
      <c r="C945" s="238" t="s">
        <v>80</v>
      </c>
      <c r="D945" s="238" t="s">
        <v>231</v>
      </c>
      <c r="E945" s="238" t="s">
        <v>361</v>
      </c>
      <c r="F945" s="243" t="str">
        <f t="shared" si="30"/>
        <v>2010-11 - Oils</v>
      </c>
      <c r="G945" s="244"/>
      <c r="H945" s="244"/>
      <c r="I945" s="244"/>
      <c r="J945" s="244"/>
      <c r="K945" s="244"/>
      <c r="L945" s="244"/>
      <c r="M945" s="244"/>
      <c r="N945" s="244" t="s">
        <v>218</v>
      </c>
      <c r="O945" s="244"/>
      <c r="P945" s="245"/>
    </row>
    <row r="946" spans="2:16" hidden="1">
      <c r="B946" s="238" t="s">
        <v>73</v>
      </c>
      <c r="C946" s="238" t="s">
        <v>80</v>
      </c>
      <c r="D946" s="238" t="s">
        <v>362</v>
      </c>
      <c r="E946" s="238" t="s">
        <v>363</v>
      </c>
      <c r="F946" s="243" t="str">
        <f t="shared" si="30"/>
        <v>2010-11 - Putrescible/organic waste</v>
      </c>
      <c r="G946" s="244"/>
      <c r="H946" s="244"/>
      <c r="I946" s="244"/>
      <c r="J946" s="244"/>
      <c r="K946" s="244"/>
      <c r="L946" s="244"/>
      <c r="M946" s="244"/>
      <c r="N946" s="244" t="s">
        <v>218</v>
      </c>
      <c r="O946" s="244"/>
      <c r="P946" s="245"/>
    </row>
    <row r="947" spans="2:16" hidden="1">
      <c r="B947" s="238" t="s">
        <v>73</v>
      </c>
      <c r="C947" s="238" t="s">
        <v>80</v>
      </c>
      <c r="D947" s="238" t="s">
        <v>364</v>
      </c>
      <c r="E947" s="238" t="s">
        <v>365</v>
      </c>
      <c r="F947" s="243" t="str">
        <f t="shared" si="30"/>
        <v>2010-11 - Industrial washwater</v>
      </c>
      <c r="G947" s="244"/>
      <c r="H947" s="244"/>
      <c r="I947" s="244"/>
      <c r="J947" s="244"/>
      <c r="K947" s="244"/>
      <c r="L947" s="244"/>
      <c r="M947" s="244"/>
      <c r="N947" s="244" t="s">
        <v>218</v>
      </c>
      <c r="O947" s="244"/>
      <c r="P947" s="245"/>
    </row>
    <row r="948" spans="2:16" hidden="1">
      <c r="B948" s="238" t="s">
        <v>73</v>
      </c>
      <c r="C948" s="238" t="s">
        <v>80</v>
      </c>
      <c r="D948" s="238" t="s">
        <v>235</v>
      </c>
      <c r="E948" s="238" t="s">
        <v>366</v>
      </c>
      <c r="F948" s="243" t="str">
        <f t="shared" si="30"/>
        <v>2010-11 - Organic chemicals</v>
      </c>
      <c r="G948" s="244"/>
      <c r="H948" s="244"/>
      <c r="I948" s="244"/>
      <c r="J948" s="244"/>
      <c r="K948" s="244"/>
      <c r="L948" s="244"/>
      <c r="M948" s="244"/>
      <c r="N948" s="244" t="s">
        <v>218</v>
      </c>
      <c r="O948" s="244"/>
      <c r="P948" s="245"/>
    </row>
    <row r="949" spans="2:16" hidden="1">
      <c r="B949" s="238" t="s">
        <v>73</v>
      </c>
      <c r="C949" s="238" t="s">
        <v>80</v>
      </c>
      <c r="D949" s="238" t="s">
        <v>367</v>
      </c>
      <c r="E949" s="238" t="s">
        <v>368</v>
      </c>
      <c r="F949" s="243" t="str">
        <f t="shared" si="30"/>
        <v>2010-11 - Soil/sludge</v>
      </c>
      <c r="G949" s="244"/>
      <c r="H949" s="244"/>
      <c r="I949" s="244"/>
      <c r="J949" s="244"/>
      <c r="K949" s="244"/>
      <c r="L949" s="244"/>
      <c r="M949" s="244"/>
      <c r="N949" s="244" t="s">
        <v>218</v>
      </c>
      <c r="O949" s="244"/>
      <c r="P949" s="245"/>
    </row>
    <row r="950" spans="2:16" hidden="1">
      <c r="B950" s="238" t="s">
        <v>73</v>
      </c>
      <c r="C950" s="238" t="s">
        <v>80</v>
      </c>
      <c r="D950" s="238" t="s">
        <v>216</v>
      </c>
      <c r="E950" s="238" t="s">
        <v>369</v>
      </c>
      <c r="F950" s="243" t="str">
        <f t="shared" si="30"/>
        <v>2010-11 - Clinical &amp; pharmaceutical</v>
      </c>
      <c r="G950" s="244"/>
      <c r="H950" s="244"/>
      <c r="I950" s="244"/>
      <c r="J950" s="244"/>
      <c r="K950" s="244"/>
      <c r="L950" s="244"/>
      <c r="M950" s="244"/>
      <c r="N950" s="244" t="s">
        <v>218</v>
      </c>
      <c r="O950" s="244"/>
      <c r="P950" s="245"/>
    </row>
    <row r="951" spans="2:16" hidden="1">
      <c r="B951" s="238" t="s">
        <v>73</v>
      </c>
      <c r="C951" s="238" t="s">
        <v>80</v>
      </c>
      <c r="D951" s="238" t="s">
        <v>370</v>
      </c>
      <c r="E951" s="238" t="s">
        <v>371</v>
      </c>
      <c r="F951" s="243" t="str">
        <f t="shared" si="30"/>
        <v>2010-11 - Misc.</v>
      </c>
      <c r="G951" s="244"/>
      <c r="H951" s="244"/>
      <c r="I951" s="244"/>
      <c r="J951" s="244"/>
      <c r="K951" s="244"/>
      <c r="L951" s="244"/>
      <c r="M951" s="244"/>
      <c r="N951" s="244" t="s">
        <v>218</v>
      </c>
      <c r="O951" s="244"/>
      <c r="P951" s="245"/>
    </row>
    <row r="952" spans="2:16" hidden="1">
      <c r="B952" s="238" t="s">
        <v>73</v>
      </c>
      <c r="C952" s="238" t="s">
        <v>81</v>
      </c>
      <c r="D952" s="238" t="s">
        <v>157</v>
      </c>
      <c r="E952" s="238" t="s">
        <v>352</v>
      </c>
      <c r="F952" s="243" t="str">
        <f t="shared" si="30"/>
        <v>2009-10 - Plating &amp; heat treatment</v>
      </c>
      <c r="G952" s="244"/>
      <c r="H952" s="244"/>
      <c r="I952" s="244"/>
      <c r="J952" s="244"/>
      <c r="K952" s="244"/>
      <c r="L952" s="244"/>
      <c r="M952" s="244"/>
      <c r="N952" s="244" t="s">
        <v>218</v>
      </c>
      <c r="O952" s="244"/>
      <c r="P952" s="245"/>
    </row>
    <row r="953" spans="2:16" hidden="1">
      <c r="B953" s="238" t="s">
        <v>73</v>
      </c>
      <c r="C953" s="238" t="s">
        <v>81</v>
      </c>
      <c r="D953" s="238" t="s">
        <v>186</v>
      </c>
      <c r="E953" s="238" t="s">
        <v>353</v>
      </c>
      <c r="F953" s="243" t="str">
        <f t="shared" si="30"/>
        <v>2009-10 - Acids</v>
      </c>
      <c r="G953" s="244"/>
      <c r="H953" s="244"/>
      <c r="I953" s="244"/>
      <c r="J953" s="244"/>
      <c r="K953" s="244"/>
      <c r="L953" s="244"/>
      <c r="M953" s="244"/>
      <c r="N953" s="244" t="s">
        <v>218</v>
      </c>
      <c r="O953" s="244"/>
      <c r="P953" s="245"/>
    </row>
    <row r="954" spans="2:16" hidden="1">
      <c r="B954" s="238" t="s">
        <v>73</v>
      </c>
      <c r="C954" s="238" t="s">
        <v>81</v>
      </c>
      <c r="D954" s="238" t="s">
        <v>247</v>
      </c>
      <c r="E954" s="238" t="s">
        <v>354</v>
      </c>
      <c r="F954" s="243" t="str">
        <f t="shared" si="30"/>
        <v>2009-10 - Alkalis</v>
      </c>
      <c r="G954" s="244"/>
      <c r="H954" s="244"/>
      <c r="I954" s="244"/>
      <c r="J954" s="244"/>
      <c r="K954" s="244"/>
      <c r="L954" s="244"/>
      <c r="M954" s="244"/>
      <c r="N954" s="244" t="s">
        <v>218</v>
      </c>
      <c r="O954" s="244"/>
      <c r="P954" s="245"/>
    </row>
    <row r="955" spans="2:16">
      <c r="B955" s="238" t="s">
        <v>73</v>
      </c>
      <c r="C955" s="238" t="s">
        <v>81</v>
      </c>
      <c r="D955" s="238" t="s">
        <v>159</v>
      </c>
      <c r="E955" s="238" t="s">
        <v>355</v>
      </c>
      <c r="F955" s="243" t="str">
        <f t="shared" si="30"/>
        <v>2009-10 - Inorganic chemicals</v>
      </c>
      <c r="G955" s="244"/>
      <c r="H955" s="244"/>
      <c r="I955" s="244"/>
      <c r="J955" s="244"/>
      <c r="K955" s="244"/>
      <c r="L955" s="244"/>
      <c r="M955" s="244"/>
      <c r="N955" s="244" t="s">
        <v>218</v>
      </c>
      <c r="O955" s="244"/>
      <c r="P955" s="245"/>
    </row>
    <row r="956" spans="2:16" hidden="1">
      <c r="B956" s="238" t="s">
        <v>73</v>
      </c>
      <c r="C956" s="238" t="s">
        <v>81</v>
      </c>
      <c r="D956" s="238" t="s">
        <v>356</v>
      </c>
      <c r="E956" s="238" t="s">
        <v>357</v>
      </c>
      <c r="F956" s="243" t="str">
        <f t="shared" si="30"/>
        <v>2009-10 - Reactive chemicals</v>
      </c>
      <c r="G956" s="244"/>
      <c r="H956" s="244"/>
      <c r="I956" s="244"/>
      <c r="J956" s="244"/>
      <c r="K956" s="244"/>
      <c r="L956" s="244"/>
      <c r="M956" s="244"/>
      <c r="N956" s="244" t="s">
        <v>218</v>
      </c>
      <c r="O956" s="244"/>
      <c r="P956" s="245"/>
    </row>
    <row r="957" spans="2:16" hidden="1">
      <c r="B957" s="238" t="s">
        <v>73</v>
      </c>
      <c r="C957" s="238" t="s">
        <v>81</v>
      </c>
      <c r="D957" s="238" t="s">
        <v>161</v>
      </c>
      <c r="E957" s="238" t="s">
        <v>358</v>
      </c>
      <c r="F957" s="243" t="str">
        <f t="shared" si="30"/>
        <v>2009-10 - Paints, resins, inks organic sludges</v>
      </c>
      <c r="G957" s="244"/>
      <c r="H957" s="244"/>
      <c r="I957" s="244"/>
      <c r="J957" s="244"/>
      <c r="K957" s="244"/>
      <c r="L957" s="244"/>
      <c r="M957" s="244"/>
      <c r="N957" s="244" t="s">
        <v>218</v>
      </c>
      <c r="O957" s="244"/>
      <c r="P957" s="245"/>
    </row>
    <row r="958" spans="2:16" hidden="1">
      <c r="B958" s="238" t="s">
        <v>73</v>
      </c>
      <c r="C958" s="238" t="s">
        <v>81</v>
      </c>
      <c r="D958" s="238" t="s">
        <v>219</v>
      </c>
      <c r="E958" s="238" t="s">
        <v>359</v>
      </c>
      <c r="F958" s="243" t="str">
        <f t="shared" si="30"/>
        <v>2009-10 - Organic solvents</v>
      </c>
      <c r="G958" s="244"/>
      <c r="H958" s="244"/>
      <c r="I958" s="244"/>
      <c r="J958" s="244"/>
      <c r="K958" s="244"/>
      <c r="L958" s="244"/>
      <c r="M958" s="244"/>
      <c r="N958" s="244" t="s">
        <v>218</v>
      </c>
      <c r="O958" s="244"/>
      <c r="P958" s="245"/>
    </row>
    <row r="959" spans="2:16" hidden="1">
      <c r="B959" s="238" t="s">
        <v>73</v>
      </c>
      <c r="C959" s="238" t="s">
        <v>81</v>
      </c>
      <c r="D959" s="238" t="s">
        <v>228</v>
      </c>
      <c r="E959" s="238" t="s">
        <v>360</v>
      </c>
      <c r="F959" s="243" t="str">
        <f t="shared" si="30"/>
        <v>2009-10 - Pesticides</v>
      </c>
      <c r="G959" s="244"/>
      <c r="H959" s="244"/>
      <c r="I959" s="244"/>
      <c r="J959" s="244"/>
      <c r="K959" s="244"/>
      <c r="L959" s="244"/>
      <c r="M959" s="244"/>
      <c r="N959" s="244" t="s">
        <v>218</v>
      </c>
      <c r="O959" s="244"/>
      <c r="P959" s="245"/>
    </row>
    <row r="960" spans="2:16" hidden="1">
      <c r="B960" s="238" t="s">
        <v>73</v>
      </c>
      <c r="C960" s="238" t="s">
        <v>81</v>
      </c>
      <c r="D960" s="238" t="s">
        <v>231</v>
      </c>
      <c r="E960" s="238" t="s">
        <v>361</v>
      </c>
      <c r="F960" s="243" t="str">
        <f t="shared" si="30"/>
        <v>2009-10 - Oils</v>
      </c>
      <c r="G960" s="244"/>
      <c r="H960" s="244"/>
      <c r="I960" s="244"/>
      <c r="J960" s="244"/>
      <c r="K960" s="244"/>
      <c r="L960" s="244"/>
      <c r="M960" s="244"/>
      <c r="N960" s="244" t="s">
        <v>218</v>
      </c>
      <c r="O960" s="244"/>
      <c r="P960" s="245"/>
    </row>
    <row r="961" spans="2:16" hidden="1">
      <c r="B961" s="238" t="s">
        <v>73</v>
      </c>
      <c r="C961" s="238" t="s">
        <v>81</v>
      </c>
      <c r="D961" s="238" t="s">
        <v>362</v>
      </c>
      <c r="E961" s="238" t="s">
        <v>363</v>
      </c>
      <c r="F961" s="243" t="str">
        <f t="shared" si="30"/>
        <v>2009-10 - Putrescible/organic waste</v>
      </c>
      <c r="G961" s="244"/>
      <c r="H961" s="244"/>
      <c r="I961" s="244"/>
      <c r="J961" s="244"/>
      <c r="K961" s="244"/>
      <c r="L961" s="244"/>
      <c r="M961" s="244"/>
      <c r="N961" s="244" t="s">
        <v>218</v>
      </c>
      <c r="O961" s="244"/>
      <c r="P961" s="245"/>
    </row>
    <row r="962" spans="2:16" hidden="1">
      <c r="B962" s="238" t="s">
        <v>73</v>
      </c>
      <c r="C962" s="238" t="s">
        <v>81</v>
      </c>
      <c r="D962" s="238" t="s">
        <v>364</v>
      </c>
      <c r="E962" s="238" t="s">
        <v>365</v>
      </c>
      <c r="F962" s="243" t="str">
        <f t="shared" si="30"/>
        <v>2009-10 - Industrial washwater</v>
      </c>
      <c r="G962" s="244"/>
      <c r="H962" s="244"/>
      <c r="I962" s="244"/>
      <c r="J962" s="244"/>
      <c r="K962" s="244"/>
      <c r="L962" s="244"/>
      <c r="M962" s="244"/>
      <c r="N962" s="244" t="s">
        <v>218</v>
      </c>
      <c r="O962" s="244"/>
      <c r="P962" s="245"/>
    </row>
    <row r="963" spans="2:16" hidden="1">
      <c r="B963" s="238" t="s">
        <v>73</v>
      </c>
      <c r="C963" s="238" t="s">
        <v>81</v>
      </c>
      <c r="D963" s="238" t="s">
        <v>235</v>
      </c>
      <c r="E963" s="238" t="s">
        <v>366</v>
      </c>
      <c r="F963" s="243" t="str">
        <f t="shared" si="30"/>
        <v>2009-10 - Organic chemicals</v>
      </c>
      <c r="G963" s="244"/>
      <c r="H963" s="244"/>
      <c r="I963" s="244"/>
      <c r="J963" s="244"/>
      <c r="K963" s="244"/>
      <c r="L963" s="244"/>
      <c r="M963" s="244"/>
      <c r="N963" s="244" t="s">
        <v>218</v>
      </c>
      <c r="O963" s="244"/>
      <c r="P963" s="245"/>
    </row>
    <row r="964" spans="2:16" hidden="1">
      <c r="B964" s="238" t="s">
        <v>73</v>
      </c>
      <c r="C964" s="238" t="s">
        <v>81</v>
      </c>
      <c r="D964" s="238" t="s">
        <v>367</v>
      </c>
      <c r="E964" s="238" t="s">
        <v>368</v>
      </c>
      <c r="F964" s="243" t="str">
        <f t="shared" si="30"/>
        <v>2009-10 - Soil/sludge</v>
      </c>
      <c r="G964" s="244"/>
      <c r="H964" s="244"/>
      <c r="I964" s="244"/>
      <c r="J964" s="244"/>
      <c r="K964" s="244"/>
      <c r="L964" s="244"/>
      <c r="M964" s="244"/>
      <c r="N964" s="244" t="s">
        <v>218</v>
      </c>
      <c r="O964" s="244"/>
      <c r="P964" s="245"/>
    </row>
    <row r="965" spans="2:16" hidden="1">
      <c r="B965" s="238" t="s">
        <v>73</v>
      </c>
      <c r="C965" s="238" t="s">
        <v>81</v>
      </c>
      <c r="D965" s="238" t="s">
        <v>216</v>
      </c>
      <c r="E965" s="238" t="s">
        <v>369</v>
      </c>
      <c r="F965" s="243" t="str">
        <f t="shared" si="30"/>
        <v>2009-10 - Clinical &amp; pharmaceutical</v>
      </c>
      <c r="G965" s="244"/>
      <c r="H965" s="244"/>
      <c r="I965" s="244"/>
      <c r="J965" s="244"/>
      <c r="K965" s="244"/>
      <c r="L965" s="244"/>
      <c r="M965" s="244"/>
      <c r="N965" s="244" t="s">
        <v>218</v>
      </c>
      <c r="O965" s="244"/>
      <c r="P965" s="245"/>
    </row>
    <row r="966" spans="2:16" hidden="1">
      <c r="B966" s="238" t="s">
        <v>73</v>
      </c>
      <c r="C966" s="238" t="s">
        <v>81</v>
      </c>
      <c r="D966" s="238" t="s">
        <v>370</v>
      </c>
      <c r="E966" s="238" t="s">
        <v>371</v>
      </c>
      <c r="F966" s="243" t="str">
        <f t="shared" si="30"/>
        <v>2009-10 - Misc.</v>
      </c>
      <c r="G966" s="244"/>
      <c r="H966" s="244"/>
      <c r="I966" s="244"/>
      <c r="J966" s="244"/>
      <c r="K966" s="244"/>
      <c r="L966" s="244"/>
      <c r="M966" s="244"/>
      <c r="N966" s="244" t="s">
        <v>218</v>
      </c>
      <c r="O966" s="244"/>
      <c r="P966" s="245"/>
    </row>
    <row r="967" spans="2:16" hidden="1">
      <c r="B967" s="238" t="s">
        <v>73</v>
      </c>
      <c r="C967" s="238" t="s">
        <v>82</v>
      </c>
      <c r="D967" s="238" t="s">
        <v>157</v>
      </c>
      <c r="E967" s="238" t="s">
        <v>352</v>
      </c>
      <c r="F967" s="243" t="str">
        <f t="shared" si="30"/>
        <v>2008-09 - Plating &amp; heat treatment</v>
      </c>
      <c r="G967" s="244"/>
      <c r="H967" s="244"/>
      <c r="I967" s="244"/>
      <c r="J967" s="244"/>
      <c r="K967" s="244"/>
      <c r="L967" s="244"/>
      <c r="M967" s="244"/>
      <c r="N967" s="244" t="s">
        <v>218</v>
      </c>
      <c r="O967" s="244"/>
      <c r="P967" s="245"/>
    </row>
    <row r="968" spans="2:16" hidden="1">
      <c r="B968" s="238" t="s">
        <v>73</v>
      </c>
      <c r="C968" s="238" t="s">
        <v>82</v>
      </c>
      <c r="D968" s="238" t="s">
        <v>186</v>
      </c>
      <c r="E968" s="238" t="s">
        <v>353</v>
      </c>
      <c r="F968" s="243" t="str">
        <f t="shared" si="30"/>
        <v>2008-09 - Acids</v>
      </c>
      <c r="G968" s="244"/>
      <c r="H968" s="244"/>
      <c r="I968" s="244"/>
      <c r="J968" s="244"/>
      <c r="K968" s="244"/>
      <c r="L968" s="244"/>
      <c r="M968" s="244"/>
      <c r="N968" s="244" t="s">
        <v>218</v>
      </c>
      <c r="O968" s="244"/>
      <c r="P968" s="245"/>
    </row>
    <row r="969" spans="2:16" hidden="1">
      <c r="B969" s="238" t="s">
        <v>73</v>
      </c>
      <c r="C969" s="238" t="s">
        <v>82</v>
      </c>
      <c r="D969" s="238" t="s">
        <v>247</v>
      </c>
      <c r="E969" s="238" t="s">
        <v>354</v>
      </c>
      <c r="F969" s="243" t="str">
        <f t="shared" si="30"/>
        <v>2008-09 - Alkalis</v>
      </c>
      <c r="G969" s="244"/>
      <c r="H969" s="244"/>
      <c r="I969" s="244"/>
      <c r="J969" s="244"/>
      <c r="K969" s="244"/>
      <c r="L969" s="244"/>
      <c r="M969" s="244"/>
      <c r="N969" s="244" t="s">
        <v>218</v>
      </c>
      <c r="O969" s="244"/>
      <c r="P969" s="245"/>
    </row>
    <row r="970" spans="2:16">
      <c r="B970" s="238" t="s">
        <v>73</v>
      </c>
      <c r="C970" s="238" t="s">
        <v>82</v>
      </c>
      <c r="D970" s="238" t="s">
        <v>159</v>
      </c>
      <c r="E970" s="238" t="s">
        <v>355</v>
      </c>
      <c r="F970" s="243" t="str">
        <f t="shared" si="30"/>
        <v>2008-09 - Inorganic chemicals</v>
      </c>
      <c r="G970" s="244"/>
      <c r="H970" s="244"/>
      <c r="I970" s="244"/>
      <c r="J970" s="244"/>
      <c r="K970" s="244"/>
      <c r="L970" s="244"/>
      <c r="M970" s="244"/>
      <c r="N970" s="244" t="s">
        <v>218</v>
      </c>
      <c r="O970" s="244"/>
      <c r="P970" s="245"/>
    </row>
    <row r="971" spans="2:16" hidden="1">
      <c r="B971" s="238" t="s">
        <v>73</v>
      </c>
      <c r="C971" s="238" t="s">
        <v>82</v>
      </c>
      <c r="D971" s="238" t="s">
        <v>356</v>
      </c>
      <c r="E971" s="238" t="s">
        <v>357</v>
      </c>
      <c r="F971" s="243" t="str">
        <f t="shared" si="30"/>
        <v>2008-09 - Reactive chemicals</v>
      </c>
      <c r="G971" s="244"/>
      <c r="H971" s="244"/>
      <c r="I971" s="244"/>
      <c r="J971" s="244"/>
      <c r="K971" s="244"/>
      <c r="L971" s="244"/>
      <c r="M971" s="244"/>
      <c r="N971" s="244" t="s">
        <v>218</v>
      </c>
      <c r="O971" s="244"/>
      <c r="P971" s="245"/>
    </row>
    <row r="972" spans="2:16" hidden="1">
      <c r="B972" s="238" t="s">
        <v>73</v>
      </c>
      <c r="C972" s="238" t="s">
        <v>82</v>
      </c>
      <c r="D972" s="238" t="s">
        <v>161</v>
      </c>
      <c r="E972" s="238" t="s">
        <v>358</v>
      </c>
      <c r="F972" s="243" t="str">
        <f t="shared" si="30"/>
        <v>2008-09 - Paints, resins, inks organic sludges</v>
      </c>
      <c r="G972" s="244"/>
      <c r="H972" s="244"/>
      <c r="I972" s="244"/>
      <c r="J972" s="244"/>
      <c r="K972" s="244"/>
      <c r="L972" s="244"/>
      <c r="M972" s="244"/>
      <c r="N972" s="244" t="s">
        <v>218</v>
      </c>
      <c r="O972" s="244"/>
      <c r="P972" s="245"/>
    </row>
    <row r="973" spans="2:16" hidden="1">
      <c r="B973" s="238" t="s">
        <v>73</v>
      </c>
      <c r="C973" s="238" t="s">
        <v>82</v>
      </c>
      <c r="D973" s="238" t="s">
        <v>219</v>
      </c>
      <c r="E973" s="238" t="s">
        <v>359</v>
      </c>
      <c r="F973" s="243" t="str">
        <f t="shared" si="30"/>
        <v>2008-09 - Organic solvents</v>
      </c>
      <c r="G973" s="244"/>
      <c r="H973" s="244"/>
      <c r="I973" s="244"/>
      <c r="J973" s="244"/>
      <c r="K973" s="244"/>
      <c r="L973" s="244"/>
      <c r="M973" s="244"/>
      <c r="N973" s="244" t="s">
        <v>218</v>
      </c>
      <c r="O973" s="244"/>
      <c r="P973" s="245"/>
    </row>
    <row r="974" spans="2:16" hidden="1">
      <c r="B974" s="238" t="s">
        <v>73</v>
      </c>
      <c r="C974" s="238" t="s">
        <v>82</v>
      </c>
      <c r="D974" s="238" t="s">
        <v>228</v>
      </c>
      <c r="E974" s="238" t="s">
        <v>360</v>
      </c>
      <c r="F974" s="243" t="str">
        <f t="shared" si="30"/>
        <v>2008-09 - Pesticides</v>
      </c>
      <c r="G974" s="244"/>
      <c r="H974" s="244"/>
      <c r="I974" s="244"/>
      <c r="J974" s="244"/>
      <c r="K974" s="244"/>
      <c r="L974" s="244"/>
      <c r="M974" s="244"/>
      <c r="N974" s="244" t="s">
        <v>218</v>
      </c>
      <c r="O974" s="244"/>
      <c r="P974" s="245"/>
    </row>
    <row r="975" spans="2:16" hidden="1">
      <c r="B975" s="238" t="s">
        <v>73</v>
      </c>
      <c r="C975" s="238" t="s">
        <v>82</v>
      </c>
      <c r="D975" s="238" t="s">
        <v>231</v>
      </c>
      <c r="E975" s="238" t="s">
        <v>361</v>
      </c>
      <c r="F975" s="243" t="str">
        <f t="shared" si="30"/>
        <v>2008-09 - Oils</v>
      </c>
      <c r="G975" s="244"/>
      <c r="H975" s="244"/>
      <c r="I975" s="244"/>
      <c r="J975" s="244"/>
      <c r="K975" s="244"/>
      <c r="L975" s="244"/>
      <c r="M975" s="244"/>
      <c r="N975" s="244" t="s">
        <v>218</v>
      </c>
      <c r="O975" s="244"/>
      <c r="P975" s="245"/>
    </row>
    <row r="976" spans="2:16" hidden="1">
      <c r="B976" s="238" t="s">
        <v>73</v>
      </c>
      <c r="C976" s="238" t="s">
        <v>82</v>
      </c>
      <c r="D976" s="238" t="s">
        <v>362</v>
      </c>
      <c r="E976" s="238" t="s">
        <v>363</v>
      </c>
      <c r="F976" s="243" t="str">
        <f t="shared" si="30"/>
        <v>2008-09 - Putrescible/organic waste</v>
      </c>
      <c r="G976" s="244"/>
      <c r="H976" s="244"/>
      <c r="I976" s="244"/>
      <c r="J976" s="244"/>
      <c r="K976" s="244"/>
      <c r="L976" s="244"/>
      <c r="M976" s="244"/>
      <c r="N976" s="244" t="s">
        <v>218</v>
      </c>
      <c r="O976" s="244"/>
      <c r="P976" s="245"/>
    </row>
    <row r="977" spans="2:16" hidden="1">
      <c r="B977" s="238" t="s">
        <v>73</v>
      </c>
      <c r="C977" s="238" t="s">
        <v>82</v>
      </c>
      <c r="D977" s="238" t="s">
        <v>364</v>
      </c>
      <c r="E977" s="238" t="s">
        <v>365</v>
      </c>
      <c r="F977" s="243" t="str">
        <f t="shared" si="30"/>
        <v>2008-09 - Industrial washwater</v>
      </c>
      <c r="G977" s="244"/>
      <c r="H977" s="244"/>
      <c r="I977" s="244"/>
      <c r="J977" s="244"/>
      <c r="K977" s="244"/>
      <c r="L977" s="244"/>
      <c r="M977" s="244"/>
      <c r="N977" s="244" t="s">
        <v>218</v>
      </c>
      <c r="O977" s="244"/>
      <c r="P977" s="245"/>
    </row>
    <row r="978" spans="2:16" hidden="1">
      <c r="B978" s="238" t="s">
        <v>73</v>
      </c>
      <c r="C978" s="238" t="s">
        <v>82</v>
      </c>
      <c r="D978" s="238" t="s">
        <v>235</v>
      </c>
      <c r="E978" s="238" t="s">
        <v>366</v>
      </c>
      <c r="F978" s="243" t="str">
        <f t="shared" si="30"/>
        <v>2008-09 - Organic chemicals</v>
      </c>
      <c r="G978" s="244"/>
      <c r="H978" s="244"/>
      <c r="I978" s="244"/>
      <c r="J978" s="244"/>
      <c r="K978" s="244"/>
      <c r="L978" s="244"/>
      <c r="M978" s="244"/>
      <c r="N978" s="244" t="s">
        <v>218</v>
      </c>
      <c r="O978" s="244"/>
      <c r="P978" s="245"/>
    </row>
    <row r="979" spans="2:16" hidden="1">
      <c r="B979" s="238" t="s">
        <v>73</v>
      </c>
      <c r="C979" s="238" t="s">
        <v>82</v>
      </c>
      <c r="D979" s="238" t="s">
        <v>367</v>
      </c>
      <c r="E979" s="238" t="s">
        <v>368</v>
      </c>
      <c r="F979" s="243" t="str">
        <f t="shared" si="30"/>
        <v>2008-09 - Soil/sludge</v>
      </c>
      <c r="G979" s="244"/>
      <c r="H979" s="244"/>
      <c r="I979" s="244"/>
      <c r="J979" s="244"/>
      <c r="K979" s="244"/>
      <c r="L979" s="244"/>
      <c r="M979" s="244"/>
      <c r="N979" s="244" t="s">
        <v>218</v>
      </c>
      <c r="O979" s="244"/>
      <c r="P979" s="245"/>
    </row>
    <row r="980" spans="2:16" hidden="1">
      <c r="B980" s="238" t="s">
        <v>73</v>
      </c>
      <c r="C980" s="238" t="s">
        <v>82</v>
      </c>
      <c r="D980" s="238" t="s">
        <v>216</v>
      </c>
      <c r="E980" s="238" t="s">
        <v>369</v>
      </c>
      <c r="F980" s="243" t="str">
        <f t="shared" si="30"/>
        <v>2008-09 - Clinical &amp; pharmaceutical</v>
      </c>
      <c r="G980" s="244"/>
      <c r="H980" s="244"/>
      <c r="I980" s="244"/>
      <c r="J980" s="244"/>
      <c r="K980" s="244"/>
      <c r="L980" s="244"/>
      <c r="M980" s="244"/>
      <c r="N980" s="244" t="s">
        <v>218</v>
      </c>
      <c r="O980" s="244"/>
      <c r="P980" s="245"/>
    </row>
    <row r="981" spans="2:16" hidden="1">
      <c r="B981" s="238" t="s">
        <v>73</v>
      </c>
      <c r="C981" s="238" t="s">
        <v>82</v>
      </c>
      <c r="D981" s="238" t="s">
        <v>370</v>
      </c>
      <c r="E981" s="238" t="s">
        <v>371</v>
      </c>
      <c r="F981" s="243" t="str">
        <f t="shared" si="30"/>
        <v>2008-09 - Misc.</v>
      </c>
      <c r="G981" s="244"/>
      <c r="H981" s="244"/>
      <c r="I981" s="244"/>
      <c r="J981" s="244"/>
      <c r="K981" s="244"/>
      <c r="L981" s="244"/>
      <c r="M981" s="244"/>
      <c r="N981" s="244" t="s">
        <v>218</v>
      </c>
      <c r="O981" s="244"/>
      <c r="P981" s="245"/>
    </row>
    <row r="982" spans="2:16" hidden="1">
      <c r="B982" s="238" t="s">
        <v>73</v>
      </c>
      <c r="C982" s="238" t="s">
        <v>83</v>
      </c>
      <c r="D982" s="238" t="s">
        <v>157</v>
      </c>
      <c r="E982" s="238" t="s">
        <v>352</v>
      </c>
      <c r="F982" s="243" t="str">
        <f t="shared" si="30"/>
        <v>2007-08 - Plating &amp; heat treatment</v>
      </c>
      <c r="G982" s="244"/>
      <c r="H982" s="244"/>
      <c r="I982" s="244"/>
      <c r="J982" s="244"/>
      <c r="K982" s="244"/>
      <c r="L982" s="244"/>
      <c r="M982" s="244"/>
      <c r="N982" s="244" t="s">
        <v>218</v>
      </c>
      <c r="O982" s="244"/>
      <c r="P982" s="245"/>
    </row>
    <row r="983" spans="2:16" hidden="1">
      <c r="B983" s="238" t="s">
        <v>73</v>
      </c>
      <c r="C983" s="238" t="s">
        <v>83</v>
      </c>
      <c r="D983" s="238" t="s">
        <v>186</v>
      </c>
      <c r="E983" s="238" t="s">
        <v>353</v>
      </c>
      <c r="F983" s="243" t="str">
        <f t="shared" si="30"/>
        <v>2007-08 - Acids</v>
      </c>
      <c r="G983" s="244"/>
      <c r="H983" s="244"/>
      <c r="I983" s="244"/>
      <c r="J983" s="244"/>
      <c r="K983" s="244"/>
      <c r="L983" s="244"/>
      <c r="M983" s="244"/>
      <c r="N983" s="244" t="s">
        <v>218</v>
      </c>
      <c r="O983" s="244"/>
      <c r="P983" s="245"/>
    </row>
    <row r="984" spans="2:16" hidden="1">
      <c r="B984" s="238" t="s">
        <v>73</v>
      </c>
      <c r="C984" s="238" t="s">
        <v>83</v>
      </c>
      <c r="D984" s="238" t="s">
        <v>247</v>
      </c>
      <c r="E984" s="238" t="s">
        <v>354</v>
      </c>
      <c r="F984" s="243" t="str">
        <f t="shared" si="30"/>
        <v>2007-08 - Alkalis</v>
      </c>
      <c r="G984" s="244"/>
      <c r="H984" s="244"/>
      <c r="I984" s="244"/>
      <c r="J984" s="244"/>
      <c r="K984" s="244"/>
      <c r="L984" s="244"/>
      <c r="M984" s="244"/>
      <c r="N984" s="244" t="s">
        <v>218</v>
      </c>
      <c r="O984" s="244"/>
      <c r="P984" s="245"/>
    </row>
    <row r="985" spans="2:16">
      <c r="B985" s="238" t="s">
        <v>73</v>
      </c>
      <c r="C985" s="238" t="s">
        <v>83</v>
      </c>
      <c r="D985" s="238" t="s">
        <v>159</v>
      </c>
      <c r="E985" s="238" t="s">
        <v>355</v>
      </c>
      <c r="F985" s="243" t="str">
        <f t="shared" si="30"/>
        <v>2007-08 - Inorganic chemicals</v>
      </c>
      <c r="G985" s="244"/>
      <c r="H985" s="244"/>
      <c r="I985" s="244"/>
      <c r="J985" s="244"/>
      <c r="K985" s="244"/>
      <c r="L985" s="244"/>
      <c r="M985" s="244"/>
      <c r="N985" s="244" t="s">
        <v>218</v>
      </c>
      <c r="O985" s="244"/>
      <c r="P985" s="245"/>
    </row>
    <row r="986" spans="2:16" hidden="1">
      <c r="B986" s="238" t="s">
        <v>73</v>
      </c>
      <c r="C986" s="238" t="s">
        <v>83</v>
      </c>
      <c r="D986" s="238" t="s">
        <v>356</v>
      </c>
      <c r="E986" s="238" t="s">
        <v>357</v>
      </c>
      <c r="F986" s="243" t="str">
        <f t="shared" si="30"/>
        <v>2007-08 - Reactive chemicals</v>
      </c>
      <c r="G986" s="244"/>
      <c r="H986" s="244"/>
      <c r="I986" s="244"/>
      <c r="J986" s="244"/>
      <c r="K986" s="244"/>
      <c r="L986" s="244"/>
      <c r="M986" s="244"/>
      <c r="N986" s="244" t="s">
        <v>218</v>
      </c>
      <c r="O986" s="244"/>
      <c r="P986" s="245"/>
    </row>
    <row r="987" spans="2:16" hidden="1">
      <c r="B987" s="238" t="s">
        <v>73</v>
      </c>
      <c r="C987" s="238" t="s">
        <v>83</v>
      </c>
      <c r="D987" s="238" t="s">
        <v>161</v>
      </c>
      <c r="E987" s="238" t="s">
        <v>358</v>
      </c>
      <c r="F987" s="243" t="str">
        <f t="shared" si="30"/>
        <v>2007-08 - Paints, resins, inks organic sludges</v>
      </c>
      <c r="G987" s="244"/>
      <c r="H987" s="244"/>
      <c r="I987" s="244"/>
      <c r="J987" s="244"/>
      <c r="K987" s="244"/>
      <c r="L987" s="244"/>
      <c r="M987" s="244"/>
      <c r="N987" s="244" t="s">
        <v>218</v>
      </c>
      <c r="O987" s="244"/>
      <c r="P987" s="245"/>
    </row>
    <row r="988" spans="2:16" hidden="1">
      <c r="B988" s="238" t="s">
        <v>73</v>
      </c>
      <c r="C988" s="238" t="s">
        <v>83</v>
      </c>
      <c r="D988" s="238" t="s">
        <v>219</v>
      </c>
      <c r="E988" s="238" t="s">
        <v>359</v>
      </c>
      <c r="F988" s="243" t="str">
        <f t="shared" si="30"/>
        <v>2007-08 - Organic solvents</v>
      </c>
      <c r="G988" s="244"/>
      <c r="H988" s="244"/>
      <c r="I988" s="244"/>
      <c r="J988" s="244"/>
      <c r="K988" s="244"/>
      <c r="L988" s="244"/>
      <c r="M988" s="244"/>
      <c r="N988" s="244" t="s">
        <v>218</v>
      </c>
      <c r="O988" s="244"/>
      <c r="P988" s="245"/>
    </row>
    <row r="989" spans="2:16" hidden="1">
      <c r="B989" s="238" t="s">
        <v>73</v>
      </c>
      <c r="C989" s="238" t="s">
        <v>83</v>
      </c>
      <c r="D989" s="238" t="s">
        <v>228</v>
      </c>
      <c r="E989" s="238" t="s">
        <v>360</v>
      </c>
      <c r="F989" s="243" t="str">
        <f t="shared" si="30"/>
        <v>2007-08 - Pesticides</v>
      </c>
      <c r="G989" s="244"/>
      <c r="H989" s="244"/>
      <c r="I989" s="244"/>
      <c r="J989" s="244"/>
      <c r="K989" s="244"/>
      <c r="L989" s="244"/>
      <c r="M989" s="244"/>
      <c r="N989" s="244" t="s">
        <v>218</v>
      </c>
      <c r="O989" s="244"/>
      <c r="P989" s="245"/>
    </row>
    <row r="990" spans="2:16" hidden="1">
      <c r="B990" s="238" t="s">
        <v>73</v>
      </c>
      <c r="C990" s="238" t="s">
        <v>83</v>
      </c>
      <c r="D990" s="238" t="s">
        <v>231</v>
      </c>
      <c r="E990" s="238" t="s">
        <v>361</v>
      </c>
      <c r="F990" s="243" t="str">
        <f t="shared" si="30"/>
        <v>2007-08 - Oils</v>
      </c>
      <c r="G990" s="244"/>
      <c r="H990" s="244"/>
      <c r="I990" s="244"/>
      <c r="J990" s="244"/>
      <c r="K990" s="244"/>
      <c r="L990" s="244"/>
      <c r="M990" s="244"/>
      <c r="N990" s="244" t="s">
        <v>218</v>
      </c>
      <c r="O990" s="244"/>
      <c r="P990" s="245"/>
    </row>
    <row r="991" spans="2:16" hidden="1">
      <c r="B991" s="238" t="s">
        <v>73</v>
      </c>
      <c r="C991" s="238" t="s">
        <v>83</v>
      </c>
      <c r="D991" s="238" t="s">
        <v>362</v>
      </c>
      <c r="E991" s="238" t="s">
        <v>363</v>
      </c>
      <c r="F991" s="243" t="str">
        <f t="shared" si="30"/>
        <v>2007-08 - Putrescible/organic waste</v>
      </c>
      <c r="G991" s="244"/>
      <c r="H991" s="244"/>
      <c r="I991" s="244"/>
      <c r="J991" s="244"/>
      <c r="K991" s="244"/>
      <c r="L991" s="244"/>
      <c r="M991" s="244"/>
      <c r="N991" s="244" t="s">
        <v>218</v>
      </c>
      <c r="O991" s="244"/>
      <c r="P991" s="245"/>
    </row>
    <row r="992" spans="2:16" hidden="1">
      <c r="B992" s="238" t="s">
        <v>73</v>
      </c>
      <c r="C992" s="238" t="s">
        <v>83</v>
      </c>
      <c r="D992" s="238" t="s">
        <v>364</v>
      </c>
      <c r="E992" s="238" t="s">
        <v>365</v>
      </c>
      <c r="F992" s="243" t="str">
        <f t="shared" si="30"/>
        <v>2007-08 - Industrial washwater</v>
      </c>
      <c r="G992" s="244"/>
      <c r="H992" s="244"/>
      <c r="I992" s="244"/>
      <c r="J992" s="244"/>
      <c r="K992" s="244"/>
      <c r="L992" s="244"/>
      <c r="M992" s="244"/>
      <c r="N992" s="244" t="s">
        <v>218</v>
      </c>
      <c r="O992" s="244"/>
      <c r="P992" s="245"/>
    </row>
    <row r="993" spans="2:16" hidden="1">
      <c r="B993" s="238" t="s">
        <v>73</v>
      </c>
      <c r="C993" s="238" t="s">
        <v>83</v>
      </c>
      <c r="D993" s="238" t="s">
        <v>235</v>
      </c>
      <c r="E993" s="238" t="s">
        <v>366</v>
      </c>
      <c r="F993" s="243" t="str">
        <f t="shared" si="30"/>
        <v>2007-08 - Organic chemicals</v>
      </c>
      <c r="G993" s="244"/>
      <c r="H993" s="244"/>
      <c r="I993" s="244"/>
      <c r="J993" s="244"/>
      <c r="K993" s="244"/>
      <c r="L993" s="244"/>
      <c r="M993" s="244"/>
      <c r="N993" s="244" t="s">
        <v>218</v>
      </c>
      <c r="O993" s="244"/>
      <c r="P993" s="245"/>
    </row>
    <row r="994" spans="2:16" hidden="1">
      <c r="B994" s="238" t="s">
        <v>73</v>
      </c>
      <c r="C994" s="238" t="s">
        <v>83</v>
      </c>
      <c r="D994" s="238" t="s">
        <v>367</v>
      </c>
      <c r="E994" s="238" t="s">
        <v>368</v>
      </c>
      <c r="F994" s="243" t="str">
        <f t="shared" si="30"/>
        <v>2007-08 - Soil/sludge</v>
      </c>
      <c r="G994" s="244"/>
      <c r="H994" s="244"/>
      <c r="I994" s="244"/>
      <c r="J994" s="244"/>
      <c r="K994" s="244"/>
      <c r="L994" s="244"/>
      <c r="M994" s="244"/>
      <c r="N994" s="244" t="s">
        <v>218</v>
      </c>
      <c r="O994" s="244"/>
      <c r="P994" s="245"/>
    </row>
    <row r="995" spans="2:16" hidden="1">
      <c r="B995" s="238" t="s">
        <v>73</v>
      </c>
      <c r="C995" s="238" t="s">
        <v>83</v>
      </c>
      <c r="D995" s="238" t="s">
        <v>216</v>
      </c>
      <c r="E995" s="238" t="s">
        <v>369</v>
      </c>
      <c r="F995" s="243" t="str">
        <f t="shared" si="30"/>
        <v>2007-08 - Clinical &amp; pharmaceutical</v>
      </c>
      <c r="G995" s="244"/>
      <c r="H995" s="244"/>
      <c r="I995" s="244"/>
      <c r="J995" s="244"/>
      <c r="K995" s="244"/>
      <c r="L995" s="244"/>
      <c r="M995" s="244"/>
      <c r="N995" s="244" t="s">
        <v>218</v>
      </c>
      <c r="O995" s="244"/>
      <c r="P995" s="245"/>
    </row>
    <row r="996" spans="2:16" hidden="1">
      <c r="B996" s="238" t="s">
        <v>73</v>
      </c>
      <c r="C996" s="238" t="s">
        <v>83</v>
      </c>
      <c r="D996" s="238" t="s">
        <v>370</v>
      </c>
      <c r="E996" s="238" t="s">
        <v>371</v>
      </c>
      <c r="F996" s="243" t="str">
        <f t="shared" si="30"/>
        <v>2007-08 - Misc.</v>
      </c>
      <c r="G996" s="244"/>
      <c r="H996" s="244"/>
      <c r="I996" s="244"/>
      <c r="J996" s="244"/>
      <c r="K996" s="244"/>
      <c r="L996" s="244"/>
      <c r="M996" s="244"/>
      <c r="N996" s="244" t="s">
        <v>218</v>
      </c>
      <c r="O996" s="244"/>
      <c r="P996" s="245"/>
    </row>
    <row r="997" spans="2:16" hidden="1">
      <c r="B997" s="238" t="s">
        <v>73</v>
      </c>
      <c r="C997" s="238" t="s">
        <v>86</v>
      </c>
      <c r="D997" s="238" t="s">
        <v>157</v>
      </c>
      <c r="E997" s="238" t="s">
        <v>352</v>
      </c>
      <c r="F997" s="243" t="str">
        <f t="shared" si="30"/>
        <v>2006-07 - Plating &amp; heat treatment</v>
      </c>
      <c r="G997" s="244"/>
      <c r="H997" s="244"/>
      <c r="I997" s="244"/>
      <c r="J997" s="244"/>
      <c r="K997" s="244"/>
      <c r="L997" s="244"/>
      <c r="M997" s="244"/>
      <c r="N997" s="244" t="s">
        <v>218</v>
      </c>
      <c r="O997" s="244"/>
      <c r="P997" s="245"/>
    </row>
    <row r="998" spans="2:16" hidden="1">
      <c r="B998" s="238" t="s">
        <v>73</v>
      </c>
      <c r="C998" s="238" t="s">
        <v>86</v>
      </c>
      <c r="D998" s="238" t="s">
        <v>186</v>
      </c>
      <c r="E998" s="238" t="s">
        <v>353</v>
      </c>
      <c r="F998" s="243" t="str">
        <f t="shared" si="30"/>
        <v>2006-07 - Acids</v>
      </c>
      <c r="G998" s="244"/>
      <c r="H998" s="244"/>
      <c r="I998" s="244"/>
      <c r="J998" s="244"/>
      <c r="K998" s="244"/>
      <c r="L998" s="244"/>
      <c r="M998" s="244"/>
      <c r="N998" s="244" t="s">
        <v>218</v>
      </c>
      <c r="O998" s="244"/>
      <c r="P998" s="245"/>
    </row>
    <row r="999" spans="2:16" hidden="1">
      <c r="B999" s="238" t="s">
        <v>73</v>
      </c>
      <c r="C999" s="238" t="s">
        <v>86</v>
      </c>
      <c r="D999" s="238" t="s">
        <v>247</v>
      </c>
      <c r="E999" s="238" t="s">
        <v>354</v>
      </c>
      <c r="F999" s="243" t="str">
        <f t="shared" si="30"/>
        <v>2006-07 - Alkalis</v>
      </c>
      <c r="G999" s="244"/>
      <c r="H999" s="244"/>
      <c r="I999" s="244"/>
      <c r="J999" s="244"/>
      <c r="K999" s="244"/>
      <c r="L999" s="244"/>
      <c r="M999" s="244"/>
      <c r="N999" s="244" t="s">
        <v>218</v>
      </c>
      <c r="O999" s="244"/>
      <c r="P999" s="245"/>
    </row>
    <row r="1000" spans="2:16">
      <c r="B1000" s="238" t="s">
        <v>73</v>
      </c>
      <c r="C1000" s="238" t="s">
        <v>86</v>
      </c>
      <c r="D1000" s="238" t="s">
        <v>159</v>
      </c>
      <c r="E1000" s="238" t="s">
        <v>355</v>
      </c>
      <c r="F1000" s="243" t="str">
        <f t="shared" si="30"/>
        <v>2006-07 - Inorganic chemicals</v>
      </c>
      <c r="G1000" s="244"/>
      <c r="H1000" s="244"/>
      <c r="I1000" s="244"/>
      <c r="J1000" s="244"/>
      <c r="K1000" s="244"/>
      <c r="L1000" s="244"/>
      <c r="M1000" s="244"/>
      <c r="N1000" s="244" t="s">
        <v>218</v>
      </c>
      <c r="O1000" s="244"/>
      <c r="P1000" s="245"/>
    </row>
    <row r="1001" spans="2:16" hidden="1">
      <c r="B1001" s="238" t="s">
        <v>73</v>
      </c>
      <c r="C1001" s="238" t="s">
        <v>86</v>
      </c>
      <c r="D1001" s="238" t="s">
        <v>356</v>
      </c>
      <c r="E1001" s="238" t="s">
        <v>357</v>
      </c>
      <c r="F1001" s="243" t="str">
        <f t="shared" si="30"/>
        <v>2006-07 - Reactive chemicals</v>
      </c>
      <c r="G1001" s="244"/>
      <c r="H1001" s="244"/>
      <c r="I1001" s="244"/>
      <c r="J1001" s="244"/>
      <c r="K1001" s="244"/>
      <c r="L1001" s="244"/>
      <c r="M1001" s="244"/>
      <c r="N1001" s="244" t="s">
        <v>218</v>
      </c>
      <c r="O1001" s="244"/>
      <c r="P1001" s="245"/>
    </row>
    <row r="1002" spans="2:16" hidden="1">
      <c r="B1002" s="238" t="s">
        <v>73</v>
      </c>
      <c r="C1002" s="238" t="s">
        <v>86</v>
      </c>
      <c r="D1002" s="238" t="s">
        <v>161</v>
      </c>
      <c r="E1002" s="238" t="s">
        <v>358</v>
      </c>
      <c r="F1002" s="243" t="str">
        <f t="shared" si="30"/>
        <v>2006-07 - Paints, resins, inks organic sludges</v>
      </c>
      <c r="G1002" s="244"/>
      <c r="H1002" s="244"/>
      <c r="I1002" s="244"/>
      <c r="J1002" s="244"/>
      <c r="K1002" s="244"/>
      <c r="L1002" s="244"/>
      <c r="M1002" s="244"/>
      <c r="N1002" s="244" t="s">
        <v>218</v>
      </c>
      <c r="O1002" s="244"/>
      <c r="P1002" s="245"/>
    </row>
    <row r="1003" spans="2:16" hidden="1">
      <c r="B1003" s="238" t="s">
        <v>73</v>
      </c>
      <c r="C1003" s="238" t="s">
        <v>86</v>
      </c>
      <c r="D1003" s="238" t="s">
        <v>219</v>
      </c>
      <c r="E1003" s="238" t="s">
        <v>359</v>
      </c>
      <c r="F1003" s="243" t="str">
        <f t="shared" si="30"/>
        <v>2006-07 - Organic solvents</v>
      </c>
      <c r="G1003" s="244"/>
      <c r="H1003" s="244"/>
      <c r="I1003" s="244"/>
      <c r="J1003" s="244"/>
      <c r="K1003" s="244"/>
      <c r="L1003" s="244"/>
      <c r="M1003" s="244"/>
      <c r="N1003" s="244" t="s">
        <v>218</v>
      </c>
      <c r="O1003" s="244"/>
      <c r="P1003" s="245"/>
    </row>
    <row r="1004" spans="2:16" hidden="1">
      <c r="B1004" s="238" t="s">
        <v>73</v>
      </c>
      <c r="C1004" s="238" t="s">
        <v>86</v>
      </c>
      <c r="D1004" s="238" t="s">
        <v>228</v>
      </c>
      <c r="E1004" s="238" t="s">
        <v>360</v>
      </c>
      <c r="F1004" s="243" t="str">
        <f t="shared" ref="F1004:F1011" si="31">CONCATENATE(C1004," - ",E1004)</f>
        <v>2006-07 - Pesticides</v>
      </c>
      <c r="G1004" s="244"/>
      <c r="H1004" s="244"/>
      <c r="I1004" s="244"/>
      <c r="J1004" s="244"/>
      <c r="K1004" s="244"/>
      <c r="L1004" s="244"/>
      <c r="M1004" s="244"/>
      <c r="N1004" s="244" t="s">
        <v>218</v>
      </c>
      <c r="O1004" s="244"/>
      <c r="P1004" s="245"/>
    </row>
    <row r="1005" spans="2:16" hidden="1">
      <c r="B1005" s="238" t="s">
        <v>73</v>
      </c>
      <c r="C1005" s="238" t="s">
        <v>86</v>
      </c>
      <c r="D1005" s="238" t="s">
        <v>231</v>
      </c>
      <c r="E1005" s="238" t="s">
        <v>361</v>
      </c>
      <c r="F1005" s="243" t="str">
        <f t="shared" si="31"/>
        <v>2006-07 - Oils</v>
      </c>
      <c r="G1005" s="244"/>
      <c r="H1005" s="244"/>
      <c r="I1005" s="244"/>
      <c r="J1005" s="244"/>
      <c r="K1005" s="244"/>
      <c r="L1005" s="244"/>
      <c r="M1005" s="244"/>
      <c r="N1005" s="244" t="s">
        <v>218</v>
      </c>
      <c r="O1005" s="244"/>
      <c r="P1005" s="245"/>
    </row>
    <row r="1006" spans="2:16" hidden="1">
      <c r="B1006" s="238" t="s">
        <v>73</v>
      </c>
      <c r="C1006" s="238" t="s">
        <v>86</v>
      </c>
      <c r="D1006" s="238" t="s">
        <v>362</v>
      </c>
      <c r="E1006" s="238" t="s">
        <v>363</v>
      </c>
      <c r="F1006" s="243" t="str">
        <f t="shared" si="31"/>
        <v>2006-07 - Putrescible/organic waste</v>
      </c>
      <c r="G1006" s="244"/>
      <c r="H1006" s="244"/>
      <c r="I1006" s="244"/>
      <c r="J1006" s="244"/>
      <c r="K1006" s="244"/>
      <c r="L1006" s="244"/>
      <c r="M1006" s="244"/>
      <c r="N1006" s="244" t="s">
        <v>218</v>
      </c>
      <c r="O1006" s="244"/>
      <c r="P1006" s="245"/>
    </row>
    <row r="1007" spans="2:16" hidden="1">
      <c r="B1007" s="238" t="s">
        <v>73</v>
      </c>
      <c r="C1007" s="238" t="s">
        <v>86</v>
      </c>
      <c r="D1007" s="238" t="s">
        <v>364</v>
      </c>
      <c r="E1007" s="238" t="s">
        <v>365</v>
      </c>
      <c r="F1007" s="243" t="str">
        <f t="shared" si="31"/>
        <v>2006-07 - Industrial washwater</v>
      </c>
      <c r="G1007" s="244"/>
      <c r="H1007" s="244"/>
      <c r="I1007" s="244"/>
      <c r="J1007" s="244"/>
      <c r="K1007" s="244"/>
      <c r="L1007" s="244"/>
      <c r="M1007" s="244"/>
      <c r="N1007" s="244" t="s">
        <v>218</v>
      </c>
      <c r="O1007" s="244"/>
      <c r="P1007" s="245"/>
    </row>
    <row r="1008" spans="2:16" hidden="1">
      <c r="B1008" s="238" t="s">
        <v>73</v>
      </c>
      <c r="C1008" s="238" t="s">
        <v>86</v>
      </c>
      <c r="D1008" s="238" t="s">
        <v>235</v>
      </c>
      <c r="E1008" s="238" t="s">
        <v>366</v>
      </c>
      <c r="F1008" s="243" t="str">
        <f t="shared" si="31"/>
        <v>2006-07 - Organic chemicals</v>
      </c>
      <c r="G1008" s="244"/>
      <c r="H1008" s="244"/>
      <c r="I1008" s="244"/>
      <c r="J1008" s="244"/>
      <c r="K1008" s="244"/>
      <c r="L1008" s="244"/>
      <c r="M1008" s="244"/>
      <c r="N1008" s="244" t="s">
        <v>218</v>
      </c>
      <c r="O1008" s="244"/>
      <c r="P1008" s="245"/>
    </row>
    <row r="1009" spans="1:18" hidden="1">
      <c r="B1009" s="238" t="s">
        <v>73</v>
      </c>
      <c r="C1009" s="238" t="s">
        <v>86</v>
      </c>
      <c r="D1009" s="238" t="s">
        <v>367</v>
      </c>
      <c r="E1009" s="238" t="s">
        <v>368</v>
      </c>
      <c r="F1009" s="243" t="str">
        <f t="shared" si="31"/>
        <v>2006-07 - Soil/sludge</v>
      </c>
      <c r="G1009" s="244"/>
      <c r="H1009" s="244"/>
      <c r="I1009" s="244"/>
      <c r="J1009" s="244">
        <v>300</v>
      </c>
      <c r="K1009" s="244"/>
      <c r="L1009" s="244"/>
      <c r="M1009" s="244"/>
      <c r="N1009" s="244" t="s">
        <v>218</v>
      </c>
      <c r="O1009" s="244"/>
      <c r="P1009" s="245"/>
    </row>
    <row r="1010" spans="1:18" hidden="1">
      <c r="B1010" s="238" t="s">
        <v>73</v>
      </c>
      <c r="C1010" s="238" t="s">
        <v>86</v>
      </c>
      <c r="D1010" s="238" t="s">
        <v>216</v>
      </c>
      <c r="E1010" s="238" t="s">
        <v>369</v>
      </c>
      <c r="F1010" s="243" t="str">
        <f t="shared" si="31"/>
        <v>2006-07 - Clinical &amp; pharmaceutical</v>
      </c>
      <c r="G1010" s="244"/>
      <c r="H1010" s="244"/>
      <c r="I1010" s="244"/>
      <c r="J1010" s="244"/>
      <c r="K1010" s="244"/>
      <c r="L1010" s="244"/>
      <c r="M1010" s="244"/>
      <c r="N1010" s="244" t="s">
        <v>218</v>
      </c>
      <c r="O1010" s="244"/>
      <c r="P1010" s="245"/>
    </row>
    <row r="1011" spans="1:18" hidden="1">
      <c r="B1011" s="238" t="s">
        <v>73</v>
      </c>
      <c r="C1011" s="238" t="s">
        <v>86</v>
      </c>
      <c r="D1011" s="238" t="s">
        <v>370</v>
      </c>
      <c r="E1011" s="238" t="s">
        <v>371</v>
      </c>
      <c r="F1011" s="243" t="str">
        <f t="shared" si="31"/>
        <v>2006-07 - Misc.</v>
      </c>
      <c r="G1011" s="244"/>
      <c r="H1011" s="244"/>
      <c r="I1011" s="244"/>
      <c r="J1011" s="244"/>
      <c r="K1011" s="244"/>
      <c r="L1011" s="244"/>
      <c r="M1011" s="244"/>
      <c r="N1011" s="244" t="s">
        <v>218</v>
      </c>
      <c r="O1011" s="244"/>
      <c r="P1011" s="245"/>
    </row>
    <row r="1013" spans="1:18" s="689" customFormat="1" ht="15.75">
      <c r="A1013" s="687"/>
      <c r="B1013" s="688"/>
      <c r="C1013" s="688"/>
      <c r="D1013" s="688"/>
      <c r="E1013" s="688"/>
      <c r="F1013" s="688"/>
      <c r="G1013" s="688"/>
      <c r="H1013" s="688"/>
      <c r="I1013" s="688"/>
      <c r="J1013" s="690" t="s">
        <v>410</v>
      </c>
      <c r="K1013" s="688" t="s">
        <v>85</v>
      </c>
      <c r="L1013" s="688" t="s">
        <v>415</v>
      </c>
      <c r="M1013" s="688" t="s">
        <v>89</v>
      </c>
      <c r="N1013" s="688" t="s">
        <v>415</v>
      </c>
      <c r="O1013" s="688" t="s">
        <v>408</v>
      </c>
      <c r="P1013" s="688" t="s">
        <v>415</v>
      </c>
      <c r="Q1013" s="688" t="s">
        <v>412</v>
      </c>
      <c r="R1013" s="688" t="s">
        <v>415</v>
      </c>
    </row>
    <row r="1014" spans="1:18">
      <c r="G1014" s="285"/>
      <c r="J1014" s="283" t="s">
        <v>0</v>
      </c>
      <c r="K1014" s="297"/>
      <c r="L1014" s="297"/>
      <c r="M1014" s="303">
        <v>0</v>
      </c>
      <c r="N1014" s="306">
        <f>M1014/$M$1087</f>
        <v>0</v>
      </c>
      <c r="O1014" s="294">
        <v>0</v>
      </c>
      <c r="P1014" s="290">
        <f>O1014/$O$1087</f>
        <v>0</v>
      </c>
    </row>
    <row r="1015" spans="1:18">
      <c r="J1015" s="283" t="s">
        <v>67</v>
      </c>
      <c r="K1015" s="297"/>
      <c r="L1015" s="297"/>
      <c r="M1015" s="303" t="s">
        <v>75</v>
      </c>
      <c r="N1015" s="306"/>
      <c r="O1015" s="295" t="s">
        <v>75</v>
      </c>
      <c r="P1015" s="291"/>
    </row>
    <row r="1016" spans="1:18">
      <c r="G1016" s="286"/>
      <c r="J1016" s="283" t="s">
        <v>56</v>
      </c>
      <c r="K1016" s="297"/>
      <c r="L1016" s="297"/>
      <c r="M1016" s="303">
        <v>0</v>
      </c>
      <c r="N1016" s="306">
        <f t="shared" ref="N1016:N1078" si="32">M1016/$M$1087</f>
        <v>0</v>
      </c>
      <c r="O1016" s="295">
        <v>0</v>
      </c>
      <c r="P1016" s="291">
        <f t="shared" ref="P1016:P1030" si="33">O1016/$O$1087</f>
        <v>0</v>
      </c>
    </row>
    <row r="1017" spans="1:18">
      <c r="J1017" s="283" t="s">
        <v>1</v>
      </c>
      <c r="K1017" s="297"/>
      <c r="L1017" s="297"/>
      <c r="M1017" s="303">
        <v>37.632719999999999</v>
      </c>
      <c r="N1017" s="306">
        <f t="shared" si="32"/>
        <v>3.1605148338170537E-3</v>
      </c>
      <c r="O1017" s="295">
        <v>1.452</v>
      </c>
      <c r="P1017" s="291">
        <f t="shared" si="33"/>
        <v>1.2801287260771075E-4</v>
      </c>
    </row>
    <row r="1018" spans="1:18">
      <c r="J1018" s="283" t="s">
        <v>2</v>
      </c>
      <c r="K1018" s="297"/>
      <c r="L1018" s="297"/>
      <c r="M1018" s="303">
        <v>4.2825999999999995</v>
      </c>
      <c r="N1018" s="306">
        <f t="shared" si="32"/>
        <v>3.5966629112391856E-4</v>
      </c>
      <c r="O1018" s="295">
        <v>23.94</v>
      </c>
      <c r="P1018" s="291">
        <f t="shared" si="33"/>
        <v>2.1106254615899417E-3</v>
      </c>
    </row>
    <row r="1019" spans="1:18">
      <c r="J1019" s="283" t="s">
        <v>3</v>
      </c>
      <c r="K1019" s="297"/>
      <c r="L1019" s="297"/>
      <c r="M1019" s="303">
        <v>0</v>
      </c>
      <c r="N1019" s="306">
        <f t="shared" si="32"/>
        <v>0</v>
      </c>
      <c r="O1019" s="295">
        <v>0</v>
      </c>
      <c r="P1019" s="291">
        <f t="shared" si="33"/>
        <v>0</v>
      </c>
    </row>
    <row r="1020" spans="1:18">
      <c r="J1020" s="283" t="s">
        <v>4</v>
      </c>
      <c r="K1020" s="297"/>
      <c r="L1020" s="297"/>
      <c r="M1020" s="303">
        <v>0</v>
      </c>
      <c r="N1020" s="306">
        <f t="shared" si="32"/>
        <v>0</v>
      </c>
      <c r="O1020" s="295">
        <v>0</v>
      </c>
      <c r="P1020" s="291">
        <f t="shared" si="33"/>
        <v>0</v>
      </c>
    </row>
    <row r="1021" spans="1:18">
      <c r="J1021" s="283" t="s">
        <v>5</v>
      </c>
      <c r="K1021" s="297"/>
      <c r="L1021" s="297"/>
      <c r="M1021" s="303">
        <v>0</v>
      </c>
      <c r="N1021" s="306">
        <f t="shared" si="32"/>
        <v>0</v>
      </c>
      <c r="O1021" s="295">
        <v>0</v>
      </c>
      <c r="P1021" s="291">
        <f t="shared" si="33"/>
        <v>0</v>
      </c>
    </row>
    <row r="1022" spans="1:18">
      <c r="J1022" s="283" t="s">
        <v>6</v>
      </c>
      <c r="K1022" s="297"/>
      <c r="L1022" s="297"/>
      <c r="M1022" s="303">
        <v>0</v>
      </c>
      <c r="N1022" s="306">
        <f t="shared" si="32"/>
        <v>0</v>
      </c>
      <c r="O1022" s="295">
        <v>0</v>
      </c>
      <c r="P1022" s="291">
        <f t="shared" si="33"/>
        <v>0</v>
      </c>
    </row>
    <row r="1023" spans="1:18">
      <c r="J1023" s="283" t="s">
        <v>7</v>
      </c>
      <c r="K1023" s="297"/>
      <c r="L1023" s="297"/>
      <c r="M1023" s="303">
        <v>0</v>
      </c>
      <c r="N1023" s="306">
        <f t="shared" si="32"/>
        <v>0</v>
      </c>
      <c r="O1023" s="295">
        <v>0</v>
      </c>
      <c r="P1023" s="291">
        <f t="shared" si="33"/>
        <v>0</v>
      </c>
    </row>
    <row r="1024" spans="1:18">
      <c r="J1024" s="283" t="s">
        <v>8</v>
      </c>
      <c r="K1024" s="297"/>
      <c r="L1024" s="297"/>
      <c r="M1024" s="303">
        <v>0</v>
      </c>
      <c r="N1024" s="306">
        <f t="shared" si="32"/>
        <v>0</v>
      </c>
      <c r="O1024" s="295">
        <v>0</v>
      </c>
      <c r="P1024" s="291">
        <f t="shared" si="33"/>
        <v>0</v>
      </c>
    </row>
    <row r="1025" spans="10:18">
      <c r="J1025" s="283" t="s">
        <v>9</v>
      </c>
      <c r="K1025" s="297"/>
      <c r="L1025" s="297"/>
      <c r="M1025" s="303">
        <v>0</v>
      </c>
      <c r="N1025" s="306">
        <f t="shared" si="32"/>
        <v>0</v>
      </c>
      <c r="O1025" s="295">
        <v>0</v>
      </c>
      <c r="P1025" s="291">
        <f t="shared" si="33"/>
        <v>0</v>
      </c>
    </row>
    <row r="1026" spans="10:18">
      <c r="J1026" s="283" t="s">
        <v>10</v>
      </c>
      <c r="K1026" s="297"/>
      <c r="L1026" s="297"/>
      <c r="M1026" s="303">
        <v>0</v>
      </c>
      <c r="N1026" s="306">
        <f t="shared" si="32"/>
        <v>0</v>
      </c>
      <c r="O1026" s="295">
        <v>0</v>
      </c>
      <c r="P1026" s="291">
        <f t="shared" si="33"/>
        <v>0</v>
      </c>
    </row>
    <row r="1027" spans="10:18">
      <c r="J1027" s="283" t="s">
        <v>68</v>
      </c>
      <c r="K1027" s="297"/>
      <c r="L1027" s="297"/>
      <c r="M1027" s="303">
        <v>0</v>
      </c>
      <c r="N1027" s="306">
        <f t="shared" si="32"/>
        <v>0</v>
      </c>
      <c r="O1027" s="295">
        <v>0</v>
      </c>
      <c r="P1027" s="291">
        <f t="shared" si="33"/>
        <v>0</v>
      </c>
    </row>
    <row r="1028" spans="10:18">
      <c r="J1028" s="283" t="s">
        <v>11</v>
      </c>
      <c r="K1028" s="297"/>
      <c r="L1028" s="297"/>
      <c r="M1028" s="303">
        <v>0</v>
      </c>
      <c r="N1028" s="306">
        <f t="shared" si="32"/>
        <v>0</v>
      </c>
      <c r="O1028" s="295">
        <v>0</v>
      </c>
      <c r="P1028" s="291">
        <f t="shared" si="33"/>
        <v>0</v>
      </c>
    </row>
    <row r="1029" spans="10:18">
      <c r="J1029" s="283" t="s">
        <v>12</v>
      </c>
      <c r="K1029" s="297"/>
      <c r="L1029" s="297"/>
      <c r="M1029" s="303">
        <v>0</v>
      </c>
      <c r="N1029" s="306">
        <f t="shared" si="32"/>
        <v>0</v>
      </c>
      <c r="O1029" s="295">
        <v>0</v>
      </c>
      <c r="P1029" s="291">
        <f t="shared" si="33"/>
        <v>0</v>
      </c>
    </row>
    <row r="1030" spans="10:18">
      <c r="J1030" s="283" t="s">
        <v>13</v>
      </c>
      <c r="K1030" s="297"/>
      <c r="L1030" s="297"/>
      <c r="M1030" s="303">
        <v>0</v>
      </c>
      <c r="N1030" s="306">
        <f t="shared" si="32"/>
        <v>0</v>
      </c>
      <c r="O1030" s="295">
        <v>0</v>
      </c>
      <c r="P1030" s="291">
        <f t="shared" si="33"/>
        <v>0</v>
      </c>
    </row>
    <row r="1031" spans="10:18">
      <c r="J1031" s="299" t="s">
        <v>14</v>
      </c>
      <c r="K1031" s="300">
        <v>662</v>
      </c>
      <c r="L1031" s="308">
        <f>K1031/K1088</f>
        <v>5.5695776543833078E-2</v>
      </c>
      <c r="M1031" s="304">
        <v>477.09199999999998</v>
      </c>
      <c r="N1031" s="308">
        <f>M1031/$M$1088</f>
        <v>4.3285711900858004E-2</v>
      </c>
      <c r="O1031" s="301">
        <v>809.45699999999988</v>
      </c>
      <c r="P1031" s="302">
        <f>O1031/$O$1088</f>
        <v>7.5598843290262563E-2</v>
      </c>
      <c r="Q1031" s="310">
        <f>(K1031+M1031+O1031)/3</f>
        <v>649.51633333333336</v>
      </c>
      <c r="R1031" s="311">
        <f>Q1031/Q1088</f>
        <v>5.7966315530818727E-2</v>
      </c>
    </row>
    <row r="1032" spans="10:18">
      <c r="J1032" s="299" t="s">
        <v>15</v>
      </c>
      <c r="K1032" s="300">
        <v>10941</v>
      </c>
      <c r="L1032" s="308">
        <f>K1032/K1088</f>
        <v>0.9204946996466431</v>
      </c>
      <c r="M1032" s="304">
        <v>10544.835999999998</v>
      </c>
      <c r="N1032" s="308">
        <f>M1032/$M$1088</f>
        <v>0.95671428809914194</v>
      </c>
      <c r="O1032" s="301">
        <v>9897.8100000000013</v>
      </c>
      <c r="P1032" s="302">
        <f>O1032/$O$1088</f>
        <v>0.92440115670973744</v>
      </c>
      <c r="Q1032" s="310">
        <f>(K1032+M1032+O1032)/3</f>
        <v>10461.215333333332</v>
      </c>
      <c r="R1032" s="311">
        <f>Q1032/Q1088</f>
        <v>0.93361487267885834</v>
      </c>
    </row>
    <row r="1033" spans="10:18">
      <c r="J1033" s="283" t="s">
        <v>16</v>
      </c>
      <c r="K1033" s="297"/>
      <c r="L1033" s="297"/>
      <c r="M1033" s="303" t="s">
        <v>75</v>
      </c>
      <c r="N1033" s="306"/>
      <c r="O1033" s="295">
        <v>0</v>
      </c>
      <c r="P1033" s="291">
        <f>O1033/$O$1087</f>
        <v>0</v>
      </c>
    </row>
    <row r="1034" spans="10:18">
      <c r="J1034" s="283" t="s">
        <v>69</v>
      </c>
      <c r="K1034" s="297"/>
      <c r="L1034" s="297"/>
      <c r="M1034" s="303" t="s">
        <v>75</v>
      </c>
      <c r="N1034" s="306"/>
      <c r="O1034" s="295" t="s">
        <v>75</v>
      </c>
      <c r="P1034" s="291"/>
    </row>
    <row r="1035" spans="10:18">
      <c r="J1035" s="283" t="s">
        <v>70</v>
      </c>
      <c r="K1035" s="297"/>
      <c r="L1035" s="297"/>
      <c r="M1035" s="303">
        <v>0</v>
      </c>
      <c r="N1035" s="306">
        <f t="shared" si="32"/>
        <v>0</v>
      </c>
      <c r="O1035" s="295">
        <v>0</v>
      </c>
      <c r="P1035" s="291">
        <f t="shared" ref="P1035:P1040" si="34">O1035/$O$1087</f>
        <v>0</v>
      </c>
    </row>
    <row r="1036" spans="10:18">
      <c r="J1036" s="283" t="s">
        <v>17</v>
      </c>
      <c r="K1036" s="297"/>
      <c r="L1036" s="297"/>
      <c r="M1036" s="303">
        <v>0</v>
      </c>
      <c r="N1036" s="306">
        <f t="shared" si="32"/>
        <v>0</v>
      </c>
      <c r="O1036" s="295">
        <v>0</v>
      </c>
      <c r="P1036" s="291">
        <f t="shared" si="34"/>
        <v>0</v>
      </c>
    </row>
    <row r="1037" spans="10:18">
      <c r="J1037" s="283" t="s">
        <v>18</v>
      </c>
      <c r="K1037" s="297"/>
      <c r="L1037" s="297"/>
      <c r="M1037" s="303">
        <v>0</v>
      </c>
      <c r="N1037" s="306">
        <f t="shared" si="32"/>
        <v>0</v>
      </c>
      <c r="O1037" s="295">
        <v>0</v>
      </c>
      <c r="P1037" s="291">
        <f t="shared" si="34"/>
        <v>0</v>
      </c>
    </row>
    <row r="1038" spans="10:18">
      <c r="J1038" s="283" t="s">
        <v>19</v>
      </c>
      <c r="K1038" s="297"/>
      <c r="L1038" s="297"/>
      <c r="M1038" s="303">
        <v>0</v>
      </c>
      <c r="N1038" s="306">
        <f t="shared" si="32"/>
        <v>0</v>
      </c>
      <c r="O1038" s="295">
        <v>0</v>
      </c>
      <c r="P1038" s="291">
        <f t="shared" si="34"/>
        <v>0</v>
      </c>
    </row>
    <row r="1039" spans="10:18">
      <c r="J1039" s="283" t="s">
        <v>20</v>
      </c>
      <c r="K1039" s="297"/>
      <c r="L1039" s="297"/>
      <c r="M1039" s="303">
        <v>0</v>
      </c>
      <c r="N1039" s="306">
        <f t="shared" si="32"/>
        <v>0</v>
      </c>
      <c r="O1039" s="295">
        <v>0</v>
      </c>
      <c r="P1039" s="291">
        <f t="shared" si="34"/>
        <v>0</v>
      </c>
    </row>
    <row r="1040" spans="10:18">
      <c r="J1040" s="283" t="s">
        <v>57</v>
      </c>
      <c r="K1040" s="297"/>
      <c r="L1040" s="297"/>
      <c r="M1040" s="303">
        <v>0</v>
      </c>
      <c r="N1040" s="306">
        <f t="shared" si="32"/>
        <v>0</v>
      </c>
      <c r="O1040" s="295">
        <v>0</v>
      </c>
      <c r="P1040" s="291">
        <f t="shared" si="34"/>
        <v>0</v>
      </c>
    </row>
    <row r="1041" spans="10:16">
      <c r="J1041" s="283" t="s">
        <v>58</v>
      </c>
      <c r="K1041" s="297"/>
      <c r="L1041" s="297"/>
      <c r="M1041" s="303" t="s">
        <v>75</v>
      </c>
      <c r="N1041" s="306"/>
      <c r="O1041" s="295" t="s">
        <v>75</v>
      </c>
      <c r="P1041" s="291"/>
    </row>
    <row r="1042" spans="10:16">
      <c r="J1042" s="283" t="s">
        <v>21</v>
      </c>
      <c r="K1042" s="297"/>
      <c r="L1042" s="297"/>
      <c r="M1042" s="303">
        <v>0</v>
      </c>
      <c r="N1042" s="306">
        <f t="shared" si="32"/>
        <v>0</v>
      </c>
      <c r="O1042" s="295">
        <v>0</v>
      </c>
      <c r="P1042" s="291">
        <f t="shared" ref="P1042:P1057" si="35">O1042/$O$1087</f>
        <v>0</v>
      </c>
    </row>
    <row r="1043" spans="10:16">
      <c r="J1043" s="283" t="s">
        <v>22</v>
      </c>
      <c r="K1043" s="297"/>
      <c r="L1043" s="297"/>
      <c r="M1043" s="303">
        <v>0</v>
      </c>
      <c r="N1043" s="306">
        <f t="shared" si="32"/>
        <v>0</v>
      </c>
      <c r="O1043" s="295">
        <v>0</v>
      </c>
      <c r="P1043" s="291">
        <f t="shared" si="35"/>
        <v>0</v>
      </c>
    </row>
    <row r="1044" spans="10:16">
      <c r="J1044" s="283" t="s">
        <v>23</v>
      </c>
      <c r="K1044" s="297"/>
      <c r="L1044" s="297"/>
      <c r="M1044" s="303">
        <v>246.2252</v>
      </c>
      <c r="N1044" s="306">
        <f t="shared" si="32"/>
        <v>2.0678770948779967E-2</v>
      </c>
      <c r="O1044" s="295">
        <v>0.39</v>
      </c>
      <c r="P1044" s="291">
        <f t="shared" si="35"/>
        <v>3.4383622807856197E-5</v>
      </c>
    </row>
    <row r="1045" spans="10:16">
      <c r="J1045" s="283" t="s">
        <v>59</v>
      </c>
      <c r="K1045" s="297"/>
      <c r="L1045" s="297"/>
      <c r="M1045" s="303">
        <v>0</v>
      </c>
      <c r="N1045" s="306">
        <f t="shared" si="32"/>
        <v>0</v>
      </c>
      <c r="O1045" s="295">
        <v>0</v>
      </c>
      <c r="P1045" s="291">
        <f t="shared" si="35"/>
        <v>0</v>
      </c>
    </row>
    <row r="1046" spans="10:16">
      <c r="J1046" s="283" t="s">
        <v>24</v>
      </c>
      <c r="K1046" s="297"/>
      <c r="L1046" s="297"/>
      <c r="M1046" s="303">
        <v>0</v>
      </c>
      <c r="N1046" s="306">
        <f t="shared" si="32"/>
        <v>0</v>
      </c>
      <c r="O1046" s="295">
        <v>0</v>
      </c>
      <c r="P1046" s="291">
        <f t="shared" si="35"/>
        <v>0</v>
      </c>
    </row>
    <row r="1047" spans="10:16">
      <c r="J1047" s="283" t="s">
        <v>25</v>
      </c>
      <c r="K1047" s="297"/>
      <c r="L1047" s="297"/>
      <c r="M1047" s="303">
        <v>15.205599999999997</v>
      </c>
      <c r="N1047" s="306">
        <f t="shared" si="32"/>
        <v>1.2770143735847045E-3</v>
      </c>
      <c r="O1047" s="295">
        <v>0.53685499999999997</v>
      </c>
      <c r="P1047" s="291">
        <f t="shared" si="35"/>
        <v>4.7330820057722143E-5</v>
      </c>
    </row>
    <row r="1048" spans="10:16">
      <c r="J1048" s="283" t="s">
        <v>26</v>
      </c>
      <c r="K1048" s="297"/>
      <c r="L1048" s="297"/>
      <c r="M1048" s="303">
        <v>90.624500000000012</v>
      </c>
      <c r="N1048" s="306">
        <f t="shared" si="32"/>
        <v>7.6109320973146146E-3</v>
      </c>
      <c r="O1048" s="295">
        <v>79.62</v>
      </c>
      <c r="P1048" s="291">
        <f t="shared" si="35"/>
        <v>7.0195488409269492E-3</v>
      </c>
    </row>
    <row r="1049" spans="10:16">
      <c r="J1049" s="283" t="s">
        <v>27</v>
      </c>
      <c r="K1049" s="297"/>
      <c r="L1049" s="297"/>
      <c r="M1049" s="303">
        <v>0</v>
      </c>
      <c r="N1049" s="306">
        <f t="shared" si="32"/>
        <v>0</v>
      </c>
      <c r="O1049" s="295">
        <v>0</v>
      </c>
      <c r="P1049" s="291">
        <f t="shared" si="35"/>
        <v>0</v>
      </c>
    </row>
    <row r="1050" spans="10:16">
      <c r="J1050" s="283" t="s">
        <v>28</v>
      </c>
      <c r="K1050" s="297"/>
      <c r="L1050" s="297"/>
      <c r="M1050" s="303">
        <v>0</v>
      </c>
      <c r="N1050" s="306">
        <f t="shared" si="32"/>
        <v>0</v>
      </c>
      <c r="O1050" s="295">
        <v>0</v>
      </c>
      <c r="P1050" s="291">
        <f t="shared" si="35"/>
        <v>0</v>
      </c>
    </row>
    <row r="1051" spans="10:16">
      <c r="J1051" s="283" t="s">
        <v>29</v>
      </c>
      <c r="K1051" s="297"/>
      <c r="L1051" s="297"/>
      <c r="M1051" s="303">
        <v>0</v>
      </c>
      <c r="N1051" s="306">
        <f t="shared" si="32"/>
        <v>0</v>
      </c>
      <c r="O1051" s="295">
        <v>0</v>
      </c>
      <c r="P1051" s="291">
        <f t="shared" si="35"/>
        <v>0</v>
      </c>
    </row>
    <row r="1052" spans="10:16">
      <c r="J1052" s="283" t="s">
        <v>30</v>
      </c>
      <c r="K1052" s="297"/>
      <c r="L1052" s="297"/>
      <c r="M1052" s="303">
        <v>0</v>
      </c>
      <c r="N1052" s="306">
        <f t="shared" si="32"/>
        <v>0</v>
      </c>
      <c r="O1052" s="295">
        <v>40.94</v>
      </c>
      <c r="P1052" s="291">
        <f t="shared" si="35"/>
        <v>3.6093987634708523E-3</v>
      </c>
    </row>
    <row r="1053" spans="10:16">
      <c r="J1053" s="283" t="s">
        <v>31</v>
      </c>
      <c r="K1053" s="297"/>
      <c r="L1053" s="297"/>
      <c r="M1053" s="303">
        <v>340.09805000000006</v>
      </c>
      <c r="N1053" s="309">
        <f t="shared" si="32"/>
        <v>2.8562509751547439E-2</v>
      </c>
      <c r="O1053" s="295">
        <v>373.87144999999998</v>
      </c>
      <c r="P1053" s="292">
        <f t="shared" si="35"/>
        <v>3.2961679270323757E-2</v>
      </c>
    </row>
    <row r="1054" spans="10:16">
      <c r="J1054" s="283" t="s">
        <v>32</v>
      </c>
      <c r="K1054" s="297"/>
      <c r="L1054" s="297"/>
      <c r="M1054" s="303">
        <v>123.86000000000001</v>
      </c>
      <c r="N1054" s="306">
        <f t="shared" si="32"/>
        <v>1.0402154489938021E-2</v>
      </c>
      <c r="O1054" s="295">
        <v>36.620000000000005</v>
      </c>
      <c r="P1054" s="291">
        <f t="shared" si="35"/>
        <v>3.2285340185222921E-3</v>
      </c>
    </row>
    <row r="1055" spans="10:16">
      <c r="J1055" s="283" t="s">
        <v>33</v>
      </c>
      <c r="K1055" s="297"/>
      <c r="L1055" s="297"/>
      <c r="M1055" s="303">
        <v>0</v>
      </c>
      <c r="N1055" s="306">
        <f t="shared" si="32"/>
        <v>0</v>
      </c>
      <c r="O1055" s="295">
        <v>0</v>
      </c>
      <c r="P1055" s="291">
        <f t="shared" si="35"/>
        <v>0</v>
      </c>
    </row>
    <row r="1056" spans="10:16">
      <c r="J1056" s="283" t="s">
        <v>34</v>
      </c>
      <c r="K1056" s="297"/>
      <c r="L1056" s="297"/>
      <c r="M1056" s="303">
        <v>0</v>
      </c>
      <c r="N1056" s="306">
        <f t="shared" si="32"/>
        <v>0</v>
      </c>
      <c r="O1056" s="295">
        <v>0</v>
      </c>
      <c r="P1056" s="291">
        <f t="shared" si="35"/>
        <v>0</v>
      </c>
    </row>
    <row r="1057" spans="10:16">
      <c r="J1057" s="283" t="s">
        <v>60</v>
      </c>
      <c r="K1057" s="297"/>
      <c r="L1057" s="297"/>
      <c r="M1057" s="303">
        <v>0</v>
      </c>
      <c r="N1057" s="306">
        <f t="shared" si="32"/>
        <v>0</v>
      </c>
      <c r="O1057" s="295">
        <v>0</v>
      </c>
      <c r="P1057" s="291">
        <f t="shared" si="35"/>
        <v>0</v>
      </c>
    </row>
    <row r="1058" spans="10:16">
      <c r="J1058" s="283" t="s">
        <v>35</v>
      </c>
      <c r="K1058" s="297"/>
      <c r="L1058" s="297"/>
      <c r="M1058" s="303" t="s">
        <v>75</v>
      </c>
      <c r="N1058" s="306"/>
      <c r="O1058" s="295" t="s">
        <v>75</v>
      </c>
      <c r="P1058" s="291"/>
    </row>
    <row r="1059" spans="10:16">
      <c r="J1059" s="283" t="s">
        <v>61</v>
      </c>
      <c r="K1059" s="297"/>
      <c r="L1059" s="297"/>
      <c r="M1059" s="303" t="s">
        <v>75</v>
      </c>
      <c r="N1059" s="306"/>
      <c r="O1059" s="295" t="s">
        <v>75</v>
      </c>
      <c r="P1059" s="291"/>
    </row>
    <row r="1060" spans="10:16">
      <c r="J1060" s="283" t="s">
        <v>36</v>
      </c>
      <c r="K1060" s="297"/>
      <c r="L1060" s="297"/>
      <c r="M1060" s="303">
        <v>0</v>
      </c>
      <c r="N1060" s="306">
        <f t="shared" si="32"/>
        <v>0</v>
      </c>
      <c r="O1060" s="295">
        <v>0</v>
      </c>
      <c r="P1060" s="291">
        <f>O1060/$O$1087</f>
        <v>0</v>
      </c>
    </row>
    <row r="1061" spans="10:16">
      <c r="J1061" s="283" t="s">
        <v>37</v>
      </c>
      <c r="K1061" s="297"/>
      <c r="L1061" s="297"/>
      <c r="M1061" s="303">
        <v>0</v>
      </c>
      <c r="N1061" s="306">
        <f t="shared" si="32"/>
        <v>0</v>
      </c>
      <c r="O1061" s="295">
        <v>0</v>
      </c>
      <c r="P1061" s="291">
        <f>O1061/$O$1087</f>
        <v>0</v>
      </c>
    </row>
    <row r="1062" spans="10:16">
      <c r="J1062" s="283" t="s">
        <v>38</v>
      </c>
      <c r="K1062" s="297"/>
      <c r="L1062" s="297"/>
      <c r="M1062" s="303">
        <v>0</v>
      </c>
      <c r="N1062" s="306">
        <f t="shared" si="32"/>
        <v>0</v>
      </c>
      <c r="O1062" s="295">
        <v>0</v>
      </c>
      <c r="P1062" s="291">
        <f>O1062/$O$1087</f>
        <v>0</v>
      </c>
    </row>
    <row r="1063" spans="10:16">
      <c r="J1063" s="283" t="s">
        <v>62</v>
      </c>
      <c r="K1063" s="297"/>
      <c r="L1063" s="297"/>
      <c r="M1063" s="303" t="s">
        <v>75</v>
      </c>
      <c r="N1063" s="306"/>
      <c r="O1063" s="295" t="s">
        <v>75</v>
      </c>
      <c r="P1063" s="291"/>
    </row>
    <row r="1064" spans="10:16">
      <c r="J1064" s="283" t="s">
        <v>63</v>
      </c>
      <c r="K1064" s="297"/>
      <c r="L1064" s="297"/>
      <c r="M1064" s="303" t="s">
        <v>75</v>
      </c>
      <c r="N1064" s="306"/>
      <c r="O1064" s="295" t="s">
        <v>75</v>
      </c>
      <c r="P1064" s="291"/>
    </row>
    <row r="1065" spans="10:16">
      <c r="J1065" s="283" t="s">
        <v>64</v>
      </c>
      <c r="K1065" s="297"/>
      <c r="L1065" s="297"/>
      <c r="M1065" s="303">
        <v>0</v>
      </c>
      <c r="N1065" s="306">
        <f t="shared" si="32"/>
        <v>0</v>
      </c>
      <c r="O1065" s="295">
        <v>0</v>
      </c>
      <c r="P1065" s="291">
        <f t="shared" ref="P1065:P1084" si="36">O1065/$O$1087</f>
        <v>0</v>
      </c>
    </row>
    <row r="1066" spans="10:16">
      <c r="J1066" s="283" t="s">
        <v>39</v>
      </c>
      <c r="K1066" s="297"/>
      <c r="L1066" s="297"/>
      <c r="M1066" s="303">
        <v>0</v>
      </c>
      <c r="N1066" s="306">
        <f t="shared" si="32"/>
        <v>0</v>
      </c>
      <c r="O1066" s="295">
        <v>0</v>
      </c>
      <c r="P1066" s="291">
        <f t="shared" si="36"/>
        <v>0</v>
      </c>
    </row>
    <row r="1067" spans="10:16">
      <c r="J1067" s="283" t="s">
        <v>40</v>
      </c>
      <c r="K1067" s="297"/>
      <c r="L1067" s="297"/>
      <c r="M1067" s="303">
        <v>0</v>
      </c>
      <c r="N1067" s="306">
        <f t="shared" si="32"/>
        <v>0</v>
      </c>
      <c r="O1067" s="295">
        <v>0</v>
      </c>
      <c r="P1067" s="291">
        <f t="shared" si="36"/>
        <v>0</v>
      </c>
    </row>
    <row r="1068" spans="10:16">
      <c r="J1068" s="283" t="s">
        <v>41</v>
      </c>
      <c r="K1068" s="297"/>
      <c r="L1068" s="297"/>
      <c r="M1068" s="303">
        <v>7.0000000000000007E-2</v>
      </c>
      <c r="N1068" s="306">
        <f t="shared" si="32"/>
        <v>5.8788213652160618E-6</v>
      </c>
      <c r="O1068" s="295">
        <v>0</v>
      </c>
      <c r="P1068" s="291">
        <f t="shared" si="36"/>
        <v>0</v>
      </c>
    </row>
    <row r="1069" spans="10:16">
      <c r="J1069" s="283" t="s">
        <v>42</v>
      </c>
      <c r="K1069" s="297"/>
      <c r="L1069" s="297"/>
      <c r="M1069" s="303">
        <v>0</v>
      </c>
      <c r="N1069" s="306">
        <f t="shared" si="32"/>
        <v>0</v>
      </c>
      <c r="O1069" s="295">
        <v>0</v>
      </c>
      <c r="P1069" s="291">
        <f t="shared" si="36"/>
        <v>0</v>
      </c>
    </row>
    <row r="1070" spans="10:16">
      <c r="J1070" s="283" t="s">
        <v>43</v>
      </c>
      <c r="K1070" s="297"/>
      <c r="L1070" s="297"/>
      <c r="M1070" s="303">
        <v>7.6369999999999996</v>
      </c>
      <c r="N1070" s="306">
        <f t="shared" si="32"/>
        <v>6.4137941094507221E-4</v>
      </c>
      <c r="O1070" s="295">
        <v>72.053999999999988</v>
      </c>
      <c r="P1070" s="291">
        <f t="shared" si="36"/>
        <v>6.3525065584545378E-3</v>
      </c>
    </row>
    <row r="1071" spans="10:16">
      <c r="J1071" s="283" t="s">
        <v>44</v>
      </c>
      <c r="K1071" s="297"/>
      <c r="L1071" s="297"/>
      <c r="M1071" s="303">
        <v>8.7025000000000006</v>
      </c>
      <c r="N1071" s="306">
        <f t="shared" si="32"/>
        <v>7.3086347043989678E-4</v>
      </c>
      <c r="O1071" s="295">
        <v>0</v>
      </c>
      <c r="P1071" s="291">
        <f t="shared" si="36"/>
        <v>0</v>
      </c>
    </row>
    <row r="1072" spans="10:16">
      <c r="J1072" s="283" t="s">
        <v>45</v>
      </c>
      <c r="K1072" s="297"/>
      <c r="L1072" s="297"/>
      <c r="M1072" s="303">
        <v>0</v>
      </c>
      <c r="N1072" s="306">
        <f t="shared" si="32"/>
        <v>0</v>
      </c>
      <c r="O1072" s="295">
        <v>0</v>
      </c>
      <c r="P1072" s="291">
        <f t="shared" si="36"/>
        <v>0</v>
      </c>
    </row>
    <row r="1073" spans="6:17">
      <c r="J1073" s="283" t="s">
        <v>46</v>
      </c>
      <c r="K1073" s="297"/>
      <c r="L1073" s="297"/>
      <c r="M1073" s="303">
        <v>0</v>
      </c>
      <c r="N1073" s="306">
        <f t="shared" si="32"/>
        <v>0</v>
      </c>
      <c r="O1073" s="295">
        <v>0</v>
      </c>
      <c r="P1073" s="291">
        <f t="shared" si="36"/>
        <v>0</v>
      </c>
    </row>
    <row r="1074" spans="6:17">
      <c r="J1074" s="283" t="s">
        <v>47</v>
      </c>
      <c r="K1074" s="297"/>
      <c r="L1074" s="297"/>
      <c r="M1074" s="303">
        <v>0</v>
      </c>
      <c r="N1074" s="306">
        <f t="shared" si="32"/>
        <v>0</v>
      </c>
      <c r="O1074" s="295">
        <v>0</v>
      </c>
      <c r="P1074" s="291">
        <f t="shared" si="36"/>
        <v>0</v>
      </c>
    </row>
    <row r="1075" spans="6:17">
      <c r="J1075" s="283" t="s">
        <v>48</v>
      </c>
      <c r="K1075" s="297"/>
      <c r="L1075" s="297"/>
      <c r="M1075" s="303">
        <v>0</v>
      </c>
      <c r="N1075" s="306">
        <f t="shared" si="32"/>
        <v>0</v>
      </c>
      <c r="O1075" s="295">
        <v>0</v>
      </c>
      <c r="P1075" s="291">
        <f t="shared" si="36"/>
        <v>0</v>
      </c>
    </row>
    <row r="1076" spans="6:17">
      <c r="J1076" s="283" t="s">
        <v>65</v>
      </c>
      <c r="K1076" s="297"/>
      <c r="L1076" s="297"/>
      <c r="M1076" s="303">
        <v>0</v>
      </c>
      <c r="N1076" s="306">
        <f t="shared" si="32"/>
        <v>0</v>
      </c>
      <c r="O1076" s="295">
        <v>0</v>
      </c>
      <c r="P1076" s="291">
        <f t="shared" si="36"/>
        <v>0</v>
      </c>
    </row>
    <row r="1077" spans="6:17">
      <c r="J1077" s="283" t="s">
        <v>49</v>
      </c>
      <c r="K1077" s="297"/>
      <c r="L1077" s="297"/>
      <c r="M1077" s="303">
        <v>0</v>
      </c>
      <c r="N1077" s="306">
        <f t="shared" si="32"/>
        <v>0</v>
      </c>
      <c r="O1077" s="295">
        <v>0</v>
      </c>
      <c r="P1077" s="291">
        <f t="shared" si="36"/>
        <v>0</v>
      </c>
    </row>
    <row r="1078" spans="6:17">
      <c r="J1078" s="283" t="s">
        <v>50</v>
      </c>
      <c r="K1078" s="297"/>
      <c r="L1078" s="297"/>
      <c r="M1078" s="303">
        <v>0</v>
      </c>
      <c r="N1078" s="306">
        <f t="shared" si="32"/>
        <v>0</v>
      </c>
      <c r="O1078" s="295">
        <v>0</v>
      </c>
      <c r="P1078" s="291">
        <f t="shared" si="36"/>
        <v>0</v>
      </c>
    </row>
    <row r="1079" spans="6:17">
      <c r="J1079" s="283" t="s">
        <v>51</v>
      </c>
      <c r="K1079" s="297"/>
      <c r="L1079" s="297"/>
      <c r="M1079" s="303">
        <v>0</v>
      </c>
      <c r="N1079" s="306">
        <f t="shared" ref="N1079:N1087" si="37">M1079/$M$1087</f>
        <v>0</v>
      </c>
      <c r="O1079" s="295">
        <v>0</v>
      </c>
      <c r="P1079" s="291">
        <f t="shared" si="36"/>
        <v>0</v>
      </c>
    </row>
    <row r="1080" spans="6:17">
      <c r="J1080" s="283" t="s">
        <v>52</v>
      </c>
      <c r="K1080" s="297"/>
      <c r="L1080" s="297"/>
      <c r="M1080" s="303">
        <v>0</v>
      </c>
      <c r="N1080" s="306">
        <f t="shared" si="37"/>
        <v>0</v>
      </c>
      <c r="O1080" s="295">
        <v>0</v>
      </c>
      <c r="P1080" s="291">
        <f t="shared" si="36"/>
        <v>0</v>
      </c>
    </row>
    <row r="1081" spans="6:17">
      <c r="J1081" s="283" t="s">
        <v>53</v>
      </c>
      <c r="K1081" s="297"/>
      <c r="L1081" s="297"/>
      <c r="M1081" s="303">
        <v>0</v>
      </c>
      <c r="N1081" s="306">
        <f t="shared" si="37"/>
        <v>0</v>
      </c>
      <c r="O1081" s="295">
        <v>0</v>
      </c>
      <c r="P1081" s="291">
        <f t="shared" si="36"/>
        <v>0</v>
      </c>
    </row>
    <row r="1082" spans="6:17">
      <c r="J1082" s="283" t="s">
        <v>54</v>
      </c>
      <c r="K1082" s="297"/>
      <c r="L1082" s="297"/>
      <c r="M1082" s="303">
        <v>10.8825</v>
      </c>
      <c r="N1082" s="306">
        <f t="shared" si="37"/>
        <v>9.1394676438519696E-4</v>
      </c>
      <c r="O1082" s="295">
        <v>5.9180000000000001</v>
      </c>
      <c r="P1082" s="291">
        <f t="shared" si="36"/>
        <v>5.2174943532536653E-4</v>
      </c>
    </row>
    <row r="1083" spans="6:17">
      <c r="J1083" s="283" t="s">
        <v>55</v>
      </c>
      <c r="K1083" s="297"/>
      <c r="L1083" s="297"/>
      <c r="M1083" s="303">
        <v>0</v>
      </c>
      <c r="N1083" s="306">
        <f t="shared" si="37"/>
        <v>0</v>
      </c>
      <c r="O1083" s="295">
        <v>0</v>
      </c>
      <c r="P1083" s="291">
        <f t="shared" si="36"/>
        <v>0</v>
      </c>
    </row>
    <row r="1084" spans="6:17">
      <c r="J1084" s="283" t="s">
        <v>66</v>
      </c>
      <c r="K1084" s="297"/>
      <c r="L1084" s="297"/>
      <c r="M1084" s="303">
        <v>0</v>
      </c>
      <c r="N1084" s="306">
        <f t="shared" si="37"/>
        <v>0</v>
      </c>
      <c r="O1084" s="295">
        <v>0</v>
      </c>
      <c r="P1084" s="291">
        <f t="shared" si="36"/>
        <v>0</v>
      </c>
    </row>
    <row r="1085" spans="6:17">
      <c r="J1085" s="283" t="s">
        <v>71</v>
      </c>
      <c r="K1085" s="297"/>
      <c r="L1085" s="297"/>
      <c r="M1085" s="303" t="s">
        <v>75</v>
      </c>
      <c r="N1085" s="306"/>
      <c r="O1085" s="295" t="s">
        <v>75</v>
      </c>
      <c r="P1085" s="291"/>
    </row>
    <row r="1086" spans="6:17">
      <c r="J1086" s="284" t="s">
        <v>84</v>
      </c>
      <c r="K1086" s="297"/>
      <c r="L1086" s="297"/>
      <c r="M1086" s="303">
        <v>0</v>
      </c>
      <c r="N1086" s="306">
        <f t="shared" si="37"/>
        <v>0</v>
      </c>
      <c r="O1086" s="295">
        <v>0</v>
      </c>
      <c r="P1086" s="291">
        <f>O1086/$O$1087</f>
        <v>0</v>
      </c>
    </row>
    <row r="1087" spans="6:17">
      <c r="J1087" s="283" t="s">
        <v>413</v>
      </c>
      <c r="K1087" s="298">
        <v>11886</v>
      </c>
      <c r="L1087" s="298"/>
      <c r="M1087" s="305">
        <f>SUBTOTAL(9,M1014:M1086)</f>
        <v>11907.148669999999</v>
      </c>
      <c r="N1087" s="307">
        <f t="shared" si="37"/>
        <v>1</v>
      </c>
      <c r="O1087" s="296">
        <f>SUBTOTAL(9,O1014:O1086)</f>
        <v>11342.609305000004</v>
      </c>
      <c r="P1087" s="293">
        <f>O1087/$O$1087</f>
        <v>1</v>
      </c>
      <c r="Q1087" s="288">
        <f>(K1087+M1087+O1087)/3</f>
        <v>11711.919325000001</v>
      </c>
    </row>
    <row r="1088" spans="6:17">
      <c r="F1088" s="286"/>
      <c r="J1088" s="283" t="s">
        <v>414</v>
      </c>
      <c r="K1088" s="238">
        <f>K1087</f>
        <v>11886</v>
      </c>
      <c r="M1088" s="286">
        <f>SUM(M1019:M1042)</f>
        <v>11021.927999999998</v>
      </c>
      <c r="N1088" s="289">
        <f>M1088/$M$1087</f>
        <v>0.92565636874675883</v>
      </c>
      <c r="O1088" s="286">
        <f>SUM(O1019:O1042)</f>
        <v>10707.267000000002</v>
      </c>
      <c r="P1088" s="289">
        <f>O1088/$M$1087</f>
        <v>0.89923014289532699</v>
      </c>
      <c r="Q1088" s="288">
        <f>(K1088+M1088+O1088)/3</f>
        <v>11205.065000000001</v>
      </c>
    </row>
    <row r="1089" spans="3:6">
      <c r="C1089" s="287"/>
      <c r="F1089" s="286"/>
    </row>
    <row r="1090" spans="3:6">
      <c r="F1090" s="286"/>
    </row>
    <row r="1091" spans="3:6">
      <c r="C1091" s="286"/>
      <c r="F1091" s="286"/>
    </row>
    <row r="1092" spans="3:6">
      <c r="C1092" s="286"/>
      <c r="F1092" s="287"/>
    </row>
    <row r="1093" spans="3:6">
      <c r="C1093" s="286"/>
      <c r="F1093" s="287"/>
    </row>
    <row r="1094" spans="3:6">
      <c r="C1094" s="286"/>
    </row>
    <row r="1095" spans="3:6">
      <c r="C1095" s="286"/>
      <c r="F1095" s="286"/>
    </row>
    <row r="1096" spans="3:6">
      <c r="C1096" s="286"/>
      <c r="F1096" s="286"/>
    </row>
    <row r="1097" spans="3:6">
      <c r="C1097" s="286"/>
      <c r="F1097" s="286"/>
    </row>
    <row r="1098" spans="3:6">
      <c r="C1098" s="286"/>
      <c r="F1098" s="286"/>
    </row>
    <row r="1099" spans="3:6">
      <c r="C1099" s="286"/>
      <c r="F1099" s="286"/>
    </row>
    <row r="1100" spans="3:6">
      <c r="C1100" s="286"/>
      <c r="F1100" s="286"/>
    </row>
    <row r="1101" spans="3:6">
      <c r="C1101" s="286"/>
      <c r="F1101" s="286"/>
    </row>
    <row r="1102" spans="3:6">
      <c r="C1102" s="286"/>
      <c r="F1102" s="286"/>
    </row>
    <row r="1103" spans="3:6">
      <c r="C1103" s="286"/>
      <c r="F1103" s="286"/>
    </row>
    <row r="1104" spans="3:6">
      <c r="C1104" s="286"/>
      <c r="F1104" s="286"/>
    </row>
    <row r="1105" spans="3:6">
      <c r="C1105" s="286"/>
      <c r="F1105" s="286"/>
    </row>
    <row r="1106" spans="3:6">
      <c r="C1106" s="286"/>
      <c r="F1106" s="286"/>
    </row>
    <row r="1107" spans="3:6">
      <c r="C1107" s="286"/>
      <c r="F1107" s="286"/>
    </row>
    <row r="1108" spans="3:6">
      <c r="C1108" s="286"/>
      <c r="F1108" s="286"/>
    </row>
    <row r="1109" spans="3:6">
      <c r="C1109" s="286"/>
      <c r="F1109" s="286"/>
    </row>
    <row r="1110" spans="3:6">
      <c r="C1110" s="286"/>
      <c r="F1110" s="286"/>
    </row>
    <row r="1111" spans="3:6">
      <c r="C1111" s="286"/>
      <c r="F1111" s="286"/>
    </row>
    <row r="1112" spans="3:6">
      <c r="C1112" s="286"/>
      <c r="F1112" s="286"/>
    </row>
    <row r="1113" spans="3:6">
      <c r="C1113" s="286"/>
      <c r="F1113" s="286"/>
    </row>
    <row r="1114" spans="3:6">
      <c r="C1114" s="286"/>
      <c r="F1114" s="286"/>
    </row>
    <row r="1115" spans="3:6">
      <c r="C1115" s="286"/>
      <c r="F1115" s="286"/>
    </row>
    <row r="1116" spans="3:6">
      <c r="C1116" s="286"/>
      <c r="F1116" s="286"/>
    </row>
    <row r="1117" spans="3:6">
      <c r="C1117" s="286"/>
      <c r="F1117" s="286"/>
    </row>
    <row r="1118" spans="3:6">
      <c r="C1118" s="286"/>
      <c r="F1118" s="286"/>
    </row>
    <row r="1119" spans="3:6">
      <c r="C1119" s="286"/>
      <c r="F1119" s="286"/>
    </row>
    <row r="1120" spans="3:6">
      <c r="C1120" s="286"/>
      <c r="F1120" s="286"/>
    </row>
    <row r="1121" spans="3:6">
      <c r="C1121" s="286"/>
      <c r="F1121" s="286"/>
    </row>
    <row r="1122" spans="3:6">
      <c r="C1122" s="286"/>
      <c r="F1122" s="286"/>
    </row>
    <row r="1123" spans="3:6">
      <c r="C1123" s="286"/>
      <c r="F1123" s="286"/>
    </row>
    <row r="1124" spans="3:6">
      <c r="C1124" s="286"/>
      <c r="F1124" s="286"/>
    </row>
    <row r="1125" spans="3:6">
      <c r="C1125" s="286"/>
      <c r="F1125" s="286"/>
    </row>
    <row r="1126" spans="3:6">
      <c r="C1126" s="286"/>
      <c r="F1126" s="286"/>
    </row>
    <row r="1127" spans="3:6">
      <c r="C1127" s="286"/>
      <c r="F1127" s="286"/>
    </row>
    <row r="1128" spans="3:6">
      <c r="C1128" s="286"/>
      <c r="F1128" s="286"/>
    </row>
    <row r="1129" spans="3:6">
      <c r="C1129" s="286"/>
      <c r="F1129" s="286"/>
    </row>
    <row r="1130" spans="3:6">
      <c r="C1130" s="286"/>
      <c r="F1130" s="286"/>
    </row>
    <row r="1131" spans="3:6">
      <c r="C1131" s="286"/>
      <c r="F1131" s="286"/>
    </row>
    <row r="1132" spans="3:6">
      <c r="C1132" s="286"/>
      <c r="F1132" s="286"/>
    </row>
    <row r="1133" spans="3:6">
      <c r="C1133" s="286"/>
      <c r="F1133" s="286"/>
    </row>
    <row r="1134" spans="3:6">
      <c r="C1134" s="286"/>
      <c r="F1134" s="286"/>
    </row>
    <row r="1135" spans="3:6">
      <c r="C1135" s="286"/>
      <c r="F1135" s="286"/>
    </row>
    <row r="1136" spans="3:6">
      <c r="C1136" s="286"/>
      <c r="F1136" s="286"/>
    </row>
    <row r="1137" spans="3:6">
      <c r="C1137" s="286"/>
      <c r="F1137" s="286"/>
    </row>
    <row r="1138" spans="3:6">
      <c r="C1138" s="286"/>
      <c r="F1138" s="286"/>
    </row>
    <row r="1139" spans="3:6">
      <c r="C1139" s="286"/>
      <c r="F1139" s="286"/>
    </row>
    <row r="1140" spans="3:6">
      <c r="C1140" s="286"/>
      <c r="F1140" s="286"/>
    </row>
    <row r="1141" spans="3:6">
      <c r="C1141" s="286"/>
      <c r="F1141" s="286"/>
    </row>
    <row r="1142" spans="3:6">
      <c r="C1142" s="286"/>
      <c r="F1142" s="286"/>
    </row>
    <row r="1143" spans="3:6">
      <c r="C1143" s="286"/>
      <c r="F1143" s="286"/>
    </row>
    <row r="1144" spans="3:6">
      <c r="C1144" s="286"/>
      <c r="F1144" s="286"/>
    </row>
    <row r="1145" spans="3:6">
      <c r="C1145" s="286"/>
      <c r="F1145" s="286"/>
    </row>
    <row r="1146" spans="3:6">
      <c r="C1146" s="286"/>
      <c r="F1146" s="286"/>
    </row>
    <row r="1147" spans="3:6">
      <c r="C1147" s="286"/>
      <c r="F1147" s="286"/>
    </row>
    <row r="1148" spans="3:6">
      <c r="C1148" s="286"/>
      <c r="F1148" s="286"/>
    </row>
    <row r="1149" spans="3:6">
      <c r="C1149" s="286"/>
      <c r="F1149" s="286"/>
    </row>
    <row r="1150" spans="3:6">
      <c r="C1150" s="286"/>
      <c r="F1150" s="286"/>
    </row>
    <row r="1151" spans="3:6">
      <c r="C1151" s="286"/>
      <c r="F1151" s="286"/>
    </row>
    <row r="1152" spans="3:6">
      <c r="C1152" s="286"/>
      <c r="F1152" s="286"/>
    </row>
    <row r="1153" spans="3:6">
      <c r="C1153" s="286"/>
      <c r="F1153" s="286"/>
    </row>
    <row r="1154" spans="3:6">
      <c r="C1154" s="286"/>
      <c r="F1154" s="286"/>
    </row>
    <row r="1155" spans="3:6">
      <c r="C1155" s="286"/>
      <c r="F1155" s="286"/>
    </row>
    <row r="1156" spans="3:6">
      <c r="C1156" s="286"/>
      <c r="F1156" s="286"/>
    </row>
    <row r="1157" spans="3:6">
      <c r="C1157" s="286"/>
      <c r="F1157" s="286"/>
    </row>
    <row r="1158" spans="3:6">
      <c r="C1158" s="286"/>
      <c r="F1158" s="286"/>
    </row>
    <row r="1159" spans="3:6">
      <c r="C1159" s="286"/>
      <c r="F1159" s="286"/>
    </row>
    <row r="1160" spans="3:6">
      <c r="C1160" s="286"/>
      <c r="F1160" s="286"/>
    </row>
    <row r="1161" spans="3:6">
      <c r="C1161" s="286"/>
      <c r="F1161" s="286"/>
    </row>
    <row r="1162" spans="3:6">
      <c r="C1162" s="286"/>
      <c r="F1162" s="286"/>
    </row>
    <row r="1163" spans="3:6">
      <c r="C1163" s="286"/>
      <c r="F1163" s="286"/>
    </row>
    <row r="1164" spans="3:6">
      <c r="C1164" s="286"/>
      <c r="F1164" s="286"/>
    </row>
    <row r="1165" spans="3:6">
      <c r="F1165" s="286"/>
    </row>
    <row r="1166" spans="3:6">
      <c r="F1166" s="286"/>
    </row>
    <row r="1167" spans="3:6">
      <c r="F1167" s="286"/>
    </row>
    <row r="1168" spans="3:6">
      <c r="F1168" s="286"/>
    </row>
  </sheetData>
  <autoFilter ref="B171:P1011" xr:uid="{00000000-0009-0000-0000-000000000000}">
    <filterColumn colId="2">
      <filters>
        <filter val="D"/>
      </filters>
    </filterColumn>
  </autoFilter>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077AB2-4942-F149-B3A8-E625D711267E}">
  <sheetPr>
    <tabColor rgb="FFFFFF00"/>
  </sheetPr>
  <dimension ref="A1:Y75"/>
  <sheetViews>
    <sheetView zoomScale="90" zoomScaleNormal="90" workbookViewId="0">
      <pane ySplit="2" topLeftCell="A3" activePane="bottomLeft" state="frozen"/>
      <selection pane="bottomLeft" activeCell="A3" sqref="A3"/>
    </sheetView>
  </sheetViews>
  <sheetFormatPr defaultColWidth="10.85546875" defaultRowHeight="12.75"/>
  <cols>
    <col min="1" max="1" width="4.140625" style="634" customWidth="1"/>
    <col min="2" max="2" width="18.28515625" style="634" customWidth="1"/>
    <col min="3" max="3" width="12.85546875" style="634" customWidth="1"/>
    <col min="4" max="4" width="12" style="634" customWidth="1"/>
    <col min="5" max="5" width="15.140625" style="634" customWidth="1"/>
    <col min="6" max="6" width="11.42578125" style="634" customWidth="1"/>
    <col min="7" max="7" width="10.85546875" style="634"/>
    <col min="8" max="8" width="11.85546875" style="634" customWidth="1"/>
    <col min="9" max="9" width="11.28515625" style="634" customWidth="1"/>
    <col min="10" max="11" width="11.42578125" style="634" customWidth="1"/>
    <col min="12" max="12" width="12.28515625" style="634" customWidth="1"/>
    <col min="13" max="13" width="11.28515625" style="634" customWidth="1"/>
    <col min="14" max="14" width="12.28515625" style="634" bestFit="1" customWidth="1"/>
    <col min="15" max="15" width="11.7109375" style="634" customWidth="1"/>
    <col min="16" max="16384" width="10.85546875" style="634"/>
  </cols>
  <sheetData>
    <row r="1" spans="1:16" s="625" customFormat="1" ht="18.75">
      <c r="A1" s="625" t="s">
        <v>740</v>
      </c>
    </row>
    <row r="2" spans="1:16" ht="6.75" customHeight="1"/>
    <row r="3" spans="1:16" ht="15.75">
      <c r="B3" s="653" t="s">
        <v>741</v>
      </c>
      <c r="C3" s="641"/>
      <c r="D3" s="641"/>
      <c r="E3" s="641"/>
      <c r="F3" s="641"/>
      <c r="G3" s="641"/>
      <c r="H3" s="641"/>
      <c r="I3" s="641"/>
      <c r="J3" s="641"/>
      <c r="K3" s="641"/>
      <c r="L3" s="641"/>
      <c r="M3" s="641"/>
      <c r="N3" s="641"/>
      <c r="O3" s="641"/>
    </row>
    <row r="4" spans="1:16">
      <c r="B4" s="606"/>
      <c r="C4" s="610" t="s">
        <v>141</v>
      </c>
      <c r="D4" s="606"/>
      <c r="E4" s="606"/>
      <c r="F4" s="606"/>
      <c r="G4" s="606"/>
      <c r="H4" s="606"/>
      <c r="I4" s="606"/>
      <c r="J4" s="606"/>
      <c r="K4" s="606"/>
      <c r="L4" s="606"/>
      <c r="M4" s="606"/>
      <c r="N4" s="606"/>
      <c r="O4" s="606"/>
    </row>
    <row r="5" spans="1:16" ht="17.100000000000001" customHeight="1">
      <c r="B5" s="610" t="s">
        <v>416</v>
      </c>
      <c r="C5" s="610" t="s">
        <v>86</v>
      </c>
      <c r="D5" s="610" t="s">
        <v>83</v>
      </c>
      <c r="E5" s="610" t="s">
        <v>82</v>
      </c>
      <c r="F5" s="610" t="s">
        <v>81</v>
      </c>
      <c r="G5" s="610" t="s">
        <v>80</v>
      </c>
      <c r="H5" s="610" t="s">
        <v>79</v>
      </c>
      <c r="I5" s="610" t="s">
        <v>78</v>
      </c>
      <c r="J5" s="610" t="s">
        <v>77</v>
      </c>
      <c r="K5" s="610" t="s">
        <v>76</v>
      </c>
      <c r="L5" s="610" t="s">
        <v>85</v>
      </c>
      <c r="M5" s="610" t="s">
        <v>89</v>
      </c>
      <c r="N5" s="610" t="s">
        <v>408</v>
      </c>
      <c r="O5" s="651" t="s">
        <v>417</v>
      </c>
    </row>
    <row r="6" spans="1:16">
      <c r="B6" s="610" t="s">
        <v>159</v>
      </c>
      <c r="C6" s="633">
        <v>1453</v>
      </c>
      <c r="D6" s="633">
        <v>790</v>
      </c>
      <c r="E6" s="633">
        <v>2808</v>
      </c>
      <c r="F6" s="633">
        <v>2490</v>
      </c>
      <c r="G6" s="633">
        <v>7235</v>
      </c>
      <c r="H6" s="633">
        <v>5862</v>
      </c>
      <c r="I6" s="633">
        <v>14197</v>
      </c>
      <c r="J6" s="642">
        <v>12621</v>
      </c>
      <c r="K6" s="642">
        <v>12099</v>
      </c>
      <c r="L6" s="644">
        <v>11543</v>
      </c>
      <c r="M6" s="629">
        <f>M7+M8</f>
        <v>11022</v>
      </c>
      <c r="N6" s="630">
        <f>N7+N8</f>
        <v>10707</v>
      </c>
      <c r="O6" s="606"/>
    </row>
    <row r="7" spans="1:16">
      <c r="A7" s="652"/>
      <c r="B7" s="610" t="s">
        <v>15</v>
      </c>
      <c r="C7" s="628">
        <f t="shared" ref="C7:H7" si="0">$O$9*C6</f>
        <v>1298.8544492496133</v>
      </c>
      <c r="D7" s="628">
        <f t="shared" si="0"/>
        <v>706.1906503146555</v>
      </c>
      <c r="E7" s="628">
        <f t="shared" si="0"/>
        <v>2510.1055013715859</v>
      </c>
      <c r="F7" s="628">
        <f t="shared" si="0"/>
        <v>2225.8414168145473</v>
      </c>
      <c r="G7" s="628">
        <f t="shared" si="0"/>
        <v>6467.4548797804209</v>
      </c>
      <c r="H7" s="628">
        <f t="shared" si="0"/>
        <v>5240.1134077778615</v>
      </c>
      <c r="I7" s="628">
        <f>$O$9*I6</f>
        <v>12690.871724705272</v>
      </c>
      <c r="J7" s="628">
        <f>$O$9*J6</f>
        <v>11282.066072938313</v>
      </c>
      <c r="K7" s="628">
        <f>$O$9*K6</f>
        <v>10815.443896401288</v>
      </c>
      <c r="L7" s="644">
        <v>9241</v>
      </c>
      <c r="M7" s="644">
        <v>10545</v>
      </c>
      <c r="N7" s="644">
        <v>9898</v>
      </c>
      <c r="O7" s="606"/>
    </row>
    <row r="8" spans="1:16">
      <c r="A8" s="652"/>
      <c r="B8" s="610" t="s">
        <v>14</v>
      </c>
      <c r="C8" s="628">
        <f>$O$8*C6</f>
        <v>154.14555075038669</v>
      </c>
      <c r="D8" s="628">
        <f t="shared" ref="D8:K8" si="1">$O$8*D6</f>
        <v>83.809349685344458</v>
      </c>
      <c r="E8" s="628">
        <f t="shared" si="1"/>
        <v>297.89449862841423</v>
      </c>
      <c r="F8" s="628">
        <f t="shared" si="1"/>
        <v>264.15858318545276</v>
      </c>
      <c r="G8" s="628">
        <f t="shared" si="1"/>
        <v>767.54512021957862</v>
      </c>
      <c r="H8" s="628">
        <f t="shared" si="1"/>
        <v>621.88659222213823</v>
      </c>
      <c r="I8" s="628">
        <f t="shared" si="1"/>
        <v>1506.1282752947282</v>
      </c>
      <c r="J8" s="628">
        <f t="shared" si="1"/>
        <v>1338.9339270616865</v>
      </c>
      <c r="K8" s="628">
        <f t="shared" si="1"/>
        <v>1283.5561035987121</v>
      </c>
      <c r="L8" s="644">
        <v>662</v>
      </c>
      <c r="M8" s="644">
        <v>477</v>
      </c>
      <c r="N8" s="644">
        <v>809</v>
      </c>
      <c r="O8" s="657">
        <f>1-O9</f>
        <v>0.10608778441182842</v>
      </c>
    </row>
    <row r="9" spans="1:16">
      <c r="B9" s="604" t="s">
        <v>419</v>
      </c>
      <c r="C9" s="607"/>
      <c r="D9" s="607"/>
      <c r="E9" s="607"/>
      <c r="F9" s="607"/>
      <c r="G9" s="607"/>
      <c r="H9" s="607"/>
      <c r="I9" s="607"/>
      <c r="J9" s="607"/>
      <c r="K9" s="607"/>
      <c r="L9" s="649">
        <f>L7/L6</f>
        <v>0.80057177510179334</v>
      </c>
      <c r="M9" s="649">
        <f t="shared" ref="M9:N9" si="2">M7/M6</f>
        <v>0.95672291780076213</v>
      </c>
      <c r="N9" s="649">
        <f t="shared" si="2"/>
        <v>0.92444195386195949</v>
      </c>
      <c r="O9" s="650">
        <f>AVERAGE(L9:N9)</f>
        <v>0.89391221558817158</v>
      </c>
    </row>
    <row r="10" spans="1:16">
      <c r="B10" s="112" t="s">
        <v>144</v>
      </c>
      <c r="C10" s="647" t="s">
        <v>736</v>
      </c>
    </row>
    <row r="11" spans="1:16">
      <c r="B11" s="112"/>
      <c r="C11" s="648" t="s">
        <v>742</v>
      </c>
      <c r="D11" s="645"/>
      <c r="E11" s="632"/>
      <c r="F11" s="632"/>
      <c r="G11" s="632"/>
      <c r="H11" s="632"/>
      <c r="I11" s="632"/>
      <c r="J11" s="632"/>
      <c r="K11" s="632"/>
      <c r="L11" s="632"/>
      <c r="M11" s="632"/>
      <c r="N11" s="632"/>
      <c r="O11" s="632"/>
    </row>
    <row r="12" spans="1:16">
      <c r="B12" s="112"/>
      <c r="C12" s="110"/>
    </row>
    <row r="13" spans="1:16" ht="15.75">
      <c r="B13" s="654" t="s">
        <v>743</v>
      </c>
      <c r="C13" s="626"/>
      <c r="D13" s="626"/>
      <c r="E13" s="626"/>
      <c r="F13" s="626"/>
      <c r="G13" s="626"/>
      <c r="H13" s="626"/>
      <c r="I13" s="626"/>
      <c r="J13" s="626"/>
      <c r="K13" s="626"/>
      <c r="L13" s="626"/>
      <c r="M13" s="626"/>
      <c r="N13" s="626"/>
      <c r="O13" s="626"/>
      <c r="P13" s="627"/>
    </row>
    <row r="14" spans="1:16">
      <c r="B14" s="603"/>
      <c r="C14" s="604" t="s">
        <v>141</v>
      </c>
      <c r="D14" s="603"/>
      <c r="E14" s="603"/>
      <c r="F14" s="603"/>
      <c r="G14" s="603"/>
      <c r="H14" s="603"/>
      <c r="I14" s="603"/>
      <c r="J14" s="603"/>
      <c r="K14" s="603"/>
      <c r="L14" s="603"/>
      <c r="M14" s="603"/>
      <c r="N14" s="603"/>
      <c r="O14" s="603"/>
      <c r="P14" s="606"/>
    </row>
    <row r="15" spans="1:16">
      <c r="B15" s="604" t="s">
        <v>416</v>
      </c>
      <c r="C15" s="604" t="s">
        <v>86</v>
      </c>
      <c r="D15" s="604" t="s">
        <v>83</v>
      </c>
      <c r="E15" s="604" t="s">
        <v>82</v>
      </c>
      <c r="F15" s="604" t="s">
        <v>81</v>
      </c>
      <c r="G15" s="604" t="s">
        <v>80</v>
      </c>
      <c r="H15" s="604" t="s">
        <v>79</v>
      </c>
      <c r="I15" s="604" t="s">
        <v>78</v>
      </c>
      <c r="J15" s="604" t="s">
        <v>77</v>
      </c>
      <c r="K15" s="604" t="s">
        <v>76</v>
      </c>
      <c r="L15" s="604" t="s">
        <v>85</v>
      </c>
      <c r="M15" s="604" t="s">
        <v>89</v>
      </c>
      <c r="N15" s="604" t="s">
        <v>408</v>
      </c>
      <c r="O15" s="604" t="s">
        <v>409</v>
      </c>
      <c r="P15" s="651" t="s">
        <v>417</v>
      </c>
    </row>
    <row r="16" spans="1:16">
      <c r="B16" s="604" t="s">
        <v>159</v>
      </c>
      <c r="C16" s="655">
        <v>2497.62</v>
      </c>
      <c r="D16" s="655">
        <v>2456.0500000000002</v>
      </c>
      <c r="E16" s="655">
        <v>6067.92</v>
      </c>
      <c r="F16" s="655">
        <v>13201.51</v>
      </c>
      <c r="G16" s="655">
        <v>11978.64</v>
      </c>
      <c r="H16" s="655">
        <v>15145.17</v>
      </c>
      <c r="I16" s="655">
        <v>13524.65</v>
      </c>
      <c r="J16" s="656">
        <v>11006</v>
      </c>
      <c r="K16" s="656">
        <v>15586</v>
      </c>
      <c r="L16" s="557">
        <f>L17+L18</f>
        <v>15829</v>
      </c>
      <c r="M16" s="557">
        <f>M17+M18</f>
        <v>20822.157800000001</v>
      </c>
      <c r="N16" s="660">
        <v>19701</v>
      </c>
      <c r="O16" s="662">
        <f>AVERAGE(M16:N16)</f>
        <v>20261.5789</v>
      </c>
      <c r="P16" s="603"/>
    </row>
    <row r="17" spans="2:16">
      <c r="B17" s="604" t="s">
        <v>15</v>
      </c>
      <c r="C17" s="556">
        <f>$P$19*C16</f>
        <v>2319.1274170273659</v>
      </c>
      <c r="D17" s="556">
        <f t="shared" ref="D17:K17" si="3">$P$19*D16</f>
        <v>2280.5282199013714</v>
      </c>
      <c r="E17" s="556">
        <f t="shared" si="3"/>
        <v>5634.2756849835832</v>
      </c>
      <c r="F17" s="556">
        <f t="shared" si="3"/>
        <v>12258.063191022231</v>
      </c>
      <c r="G17" s="556">
        <f t="shared" si="3"/>
        <v>11122.585678646346</v>
      </c>
      <c r="H17" s="556">
        <f t="shared" si="3"/>
        <v>14062.819397082165</v>
      </c>
      <c r="I17" s="556">
        <f t="shared" si="3"/>
        <v>12558.109968970126</v>
      </c>
      <c r="J17" s="556">
        <f t="shared" si="3"/>
        <v>10219.455462321406</v>
      </c>
      <c r="K17" s="556">
        <f t="shared" si="3"/>
        <v>14472.145451184941</v>
      </c>
      <c r="L17" s="658">
        <v>14530</v>
      </c>
      <c r="M17" s="659">
        <v>19557.327799999999</v>
      </c>
      <c r="N17" s="658">
        <v>18290.679999999993</v>
      </c>
      <c r="O17" s="556">
        <f>$P$19*O16</f>
        <v>18813.583787466941</v>
      </c>
      <c r="P17" s="603"/>
    </row>
    <row r="18" spans="2:16">
      <c r="B18" s="604" t="s">
        <v>14</v>
      </c>
      <c r="C18" s="557">
        <f>C16-C17</f>
        <v>178.49258297263395</v>
      </c>
      <c r="D18" s="557">
        <f t="shared" ref="D18:I18" si="4">D16-D17</f>
        <v>175.52178009862882</v>
      </c>
      <c r="E18" s="557">
        <f t="shared" si="4"/>
        <v>433.64431501641684</v>
      </c>
      <c r="F18" s="557">
        <f t="shared" si="4"/>
        <v>943.44680897776925</v>
      </c>
      <c r="G18" s="557">
        <f t="shared" si="4"/>
        <v>856.05432135365299</v>
      </c>
      <c r="H18" s="557">
        <f t="shared" si="4"/>
        <v>1082.3506029178352</v>
      </c>
      <c r="I18" s="557">
        <f t="shared" si="4"/>
        <v>966.54003102987372</v>
      </c>
      <c r="J18" s="557">
        <f>J16-J17</f>
        <v>786.54453767859377</v>
      </c>
      <c r="K18" s="557">
        <f t="shared" ref="K18" si="5">K16-K17</f>
        <v>1113.8545488150594</v>
      </c>
      <c r="L18" s="644">
        <v>1299</v>
      </c>
      <c r="M18" s="659">
        <v>1264.83</v>
      </c>
      <c r="N18" s="658">
        <v>1397.7719999999999</v>
      </c>
      <c r="O18" s="557">
        <f>O16-O17</f>
        <v>1447.995112533059</v>
      </c>
      <c r="P18" s="603"/>
    </row>
    <row r="19" spans="2:16">
      <c r="B19" s="604" t="s">
        <v>419</v>
      </c>
      <c r="C19" s="605"/>
      <c r="D19" s="605"/>
      <c r="E19" s="605"/>
      <c r="F19" s="605"/>
      <c r="G19" s="605"/>
      <c r="H19" s="605"/>
      <c r="I19" s="605"/>
      <c r="J19" s="605"/>
      <c r="K19" s="605"/>
      <c r="L19" s="559">
        <f>L17/L16</f>
        <v>0.91793543496114727</v>
      </c>
      <c r="M19" s="558">
        <f>M17/M16</f>
        <v>0.93925557513544533</v>
      </c>
      <c r="N19" s="558">
        <f>N17/N16</f>
        <v>0.92841378610222791</v>
      </c>
      <c r="O19" s="558"/>
      <c r="P19" s="559">
        <f>AVERAGE(L19:N19)</f>
        <v>0.92853493206627358</v>
      </c>
    </row>
    <row r="20" spans="2:16">
      <c r="B20" s="112" t="s">
        <v>144</v>
      </c>
      <c r="C20" s="647" t="s">
        <v>736</v>
      </c>
    </row>
    <row r="21" spans="2:16">
      <c r="B21" s="112"/>
      <c r="C21" s="648" t="s">
        <v>742</v>
      </c>
      <c r="D21" s="645"/>
    </row>
    <row r="22" spans="2:16">
      <c r="B22" s="661"/>
    </row>
    <row r="23" spans="2:16">
      <c r="B23" s="661" t="s">
        <v>745</v>
      </c>
      <c r="F23" s="646"/>
      <c r="L23" s="635"/>
    </row>
    <row r="25" spans="2:16" ht="15.75">
      <c r="B25" s="654" t="s">
        <v>744</v>
      </c>
      <c r="C25" s="626"/>
      <c r="D25" s="626"/>
      <c r="E25" s="626"/>
      <c r="F25" s="626"/>
      <c r="G25" s="626"/>
      <c r="H25" s="626"/>
      <c r="I25" s="626"/>
      <c r="J25" s="626"/>
      <c r="K25" s="626"/>
      <c r="L25" s="626"/>
      <c r="M25" s="626"/>
      <c r="N25" s="626"/>
      <c r="O25" s="626"/>
    </row>
    <row r="26" spans="2:16">
      <c r="B26" s="603"/>
      <c r="C26" s="604" t="s">
        <v>141</v>
      </c>
      <c r="D26" s="603"/>
      <c r="E26" s="603"/>
      <c r="F26" s="603"/>
      <c r="G26" s="603"/>
      <c r="H26" s="603"/>
      <c r="I26" s="603"/>
      <c r="J26" s="603"/>
      <c r="K26" s="603"/>
      <c r="L26" s="603"/>
      <c r="M26" s="603"/>
      <c r="N26" s="603"/>
      <c r="O26" s="603"/>
    </row>
    <row r="27" spans="2:16">
      <c r="B27" s="604" t="s">
        <v>416</v>
      </c>
      <c r="C27" s="604" t="s">
        <v>86</v>
      </c>
      <c r="D27" s="604" t="s">
        <v>83</v>
      </c>
      <c r="E27" s="604" t="s">
        <v>82</v>
      </c>
      <c r="F27" s="604" t="s">
        <v>81</v>
      </c>
      <c r="G27" s="604" t="s">
        <v>80</v>
      </c>
      <c r="H27" s="604" t="s">
        <v>79</v>
      </c>
      <c r="I27" s="604" t="s">
        <v>78</v>
      </c>
      <c r="J27" s="604" t="s">
        <v>77</v>
      </c>
      <c r="K27" s="604" t="s">
        <v>76</v>
      </c>
      <c r="L27" s="604" t="s">
        <v>85</v>
      </c>
      <c r="M27" s="604" t="s">
        <v>89</v>
      </c>
      <c r="N27" s="604" t="s">
        <v>408</v>
      </c>
      <c r="O27" s="604" t="s">
        <v>417</v>
      </c>
    </row>
    <row r="28" spans="2:16">
      <c r="B28" s="604" t="s">
        <v>14</v>
      </c>
      <c r="C28" s="603"/>
      <c r="D28" s="603"/>
      <c r="E28" s="603"/>
      <c r="F28" s="603"/>
      <c r="G28" s="603"/>
      <c r="H28" s="603"/>
      <c r="I28" s="603"/>
      <c r="J28" s="603"/>
      <c r="K28" s="658">
        <v>10916</v>
      </c>
      <c r="L28" s="662">
        <f>(K28+M28)/2</f>
        <v>25139.5</v>
      </c>
      <c r="M28" s="664">
        <v>39363</v>
      </c>
      <c r="N28" s="664">
        <v>43865</v>
      </c>
    </row>
    <row r="29" spans="2:16">
      <c r="B29" s="604" t="s">
        <v>18</v>
      </c>
      <c r="C29" s="603"/>
      <c r="D29" s="603"/>
      <c r="E29" s="603"/>
      <c r="F29" s="603"/>
      <c r="G29" s="603"/>
      <c r="H29" s="603"/>
      <c r="I29" s="603"/>
      <c r="J29" s="603"/>
      <c r="K29" s="658">
        <v>2529</v>
      </c>
      <c r="L29" s="662">
        <f>(K29+M29)/2</f>
        <v>1707.5</v>
      </c>
      <c r="M29" s="664">
        <v>886</v>
      </c>
      <c r="N29" s="664">
        <v>4312</v>
      </c>
    </row>
    <row r="30" spans="2:16">
      <c r="B30" s="604" t="s">
        <v>421</v>
      </c>
      <c r="C30" s="603"/>
      <c r="D30" s="603"/>
      <c r="E30" s="603"/>
      <c r="F30" s="603"/>
      <c r="G30" s="603"/>
      <c r="H30" s="603"/>
      <c r="I30" s="603"/>
      <c r="J30" s="603"/>
      <c r="K30" s="555">
        <f t="shared" ref="K30" si="6">K28+K29</f>
        <v>13445</v>
      </c>
      <c r="L30" s="557">
        <f>L28+L29</f>
        <v>26847</v>
      </c>
      <c r="M30" s="555">
        <f>M28+M29</f>
        <v>40249</v>
      </c>
      <c r="N30" s="555">
        <f>N28+N29</f>
        <v>48177</v>
      </c>
    </row>
    <row r="31" spans="2:16">
      <c r="B31" s="604" t="s">
        <v>420</v>
      </c>
      <c r="C31" s="603"/>
      <c r="D31" s="603"/>
      <c r="E31" s="603"/>
      <c r="F31" s="603"/>
      <c r="G31" s="603"/>
      <c r="H31" s="603"/>
      <c r="I31" s="603"/>
      <c r="J31" s="655">
        <v>19512</v>
      </c>
      <c r="K31" s="655">
        <v>16997</v>
      </c>
      <c r="L31" s="656">
        <v>7123</v>
      </c>
      <c r="M31" s="656">
        <v>7795</v>
      </c>
      <c r="N31" s="656">
        <v>11776</v>
      </c>
    </row>
    <row r="32" spans="2:16">
      <c r="B32" s="604" t="s">
        <v>422</v>
      </c>
      <c r="C32" s="603"/>
      <c r="D32" s="603"/>
      <c r="E32" s="603"/>
      <c r="F32" s="603"/>
      <c r="G32" s="603"/>
      <c r="H32" s="603"/>
      <c r="I32" s="603"/>
      <c r="J32" s="603"/>
      <c r="K32" s="558">
        <f>K28/K30</f>
        <v>0.81190033469691336</v>
      </c>
      <c r="L32" s="663">
        <f>AVERAGE(K32,M32,N32)</f>
        <v>0.90012802515965318</v>
      </c>
      <c r="M32" s="558">
        <f>M28/M30</f>
        <v>0.97798703073368287</v>
      </c>
      <c r="N32" s="558">
        <f>N28/N30</f>
        <v>0.9104967100483633</v>
      </c>
      <c r="O32" s="559">
        <f>L32</f>
        <v>0.90012802515965318</v>
      </c>
    </row>
    <row r="33" spans="2:25">
      <c r="B33" s="112" t="s">
        <v>144</v>
      </c>
      <c r="C33" s="647" t="s">
        <v>736</v>
      </c>
    </row>
    <row r="34" spans="2:25">
      <c r="B34" s="112"/>
      <c r="C34" s="648" t="s">
        <v>746</v>
      </c>
      <c r="D34" s="645"/>
    </row>
    <row r="35" spans="2:25">
      <c r="B35" s="112"/>
      <c r="C35" s="647"/>
    </row>
    <row r="36" spans="2:25" ht="15.75">
      <c r="B36" s="653" t="s">
        <v>424</v>
      </c>
      <c r="C36" s="640"/>
      <c r="D36" s="640"/>
      <c r="E36" s="640"/>
      <c r="F36" s="640"/>
      <c r="G36" s="640"/>
      <c r="H36" s="640"/>
      <c r="I36" s="640"/>
      <c r="J36" s="640"/>
      <c r="K36" s="640"/>
      <c r="L36" s="640"/>
      <c r="M36" s="640"/>
      <c r="N36" s="640"/>
      <c r="O36" s="640"/>
      <c r="P36" s="640"/>
      <c r="Q36" s="640"/>
      <c r="R36" s="640"/>
      <c r="S36" s="640"/>
    </row>
    <row r="37" spans="2:25">
      <c r="B37" s="610"/>
      <c r="C37" s="610"/>
      <c r="D37" s="610" t="s">
        <v>425</v>
      </c>
      <c r="E37" s="610" t="s">
        <v>426</v>
      </c>
      <c r="F37" s="631" t="s">
        <v>654</v>
      </c>
      <c r="G37" s="631"/>
      <c r="H37" s="631"/>
      <c r="I37" s="631"/>
      <c r="J37" s="632"/>
      <c r="K37" s="632"/>
      <c r="L37" s="632"/>
      <c r="M37" s="632"/>
      <c r="N37" s="632"/>
      <c r="O37" s="632"/>
      <c r="P37" s="632"/>
      <c r="Q37" s="632"/>
      <c r="R37" s="632"/>
      <c r="S37" s="632"/>
    </row>
    <row r="38" spans="2:25">
      <c r="B38" s="610" t="s">
        <v>427</v>
      </c>
      <c r="C38" s="606"/>
      <c r="D38" s="633">
        <v>122200</v>
      </c>
      <c r="E38" s="633">
        <v>100300</v>
      </c>
      <c r="F38" s="632" t="s">
        <v>428</v>
      </c>
      <c r="G38" s="632"/>
      <c r="H38" s="632"/>
      <c r="I38" s="632"/>
      <c r="J38" s="632"/>
      <c r="K38" s="632"/>
      <c r="L38" s="632"/>
      <c r="M38" s="632"/>
      <c r="N38" s="632"/>
      <c r="O38" s="632"/>
      <c r="P38" s="632"/>
      <c r="Q38" s="632"/>
      <c r="R38" s="632"/>
      <c r="S38" s="632"/>
    </row>
    <row r="39" spans="2:25">
      <c r="B39" s="610" t="s">
        <v>430</v>
      </c>
      <c r="C39" s="606"/>
      <c r="D39" s="633">
        <v>137000</v>
      </c>
      <c r="E39" s="628">
        <f>E38/D38*D39</f>
        <v>112447.62684124387</v>
      </c>
      <c r="F39" s="632" t="s">
        <v>429</v>
      </c>
      <c r="G39" s="632"/>
      <c r="H39" s="632"/>
      <c r="I39" s="632"/>
      <c r="J39" s="632"/>
      <c r="K39" s="632"/>
      <c r="L39" s="632"/>
      <c r="M39" s="632"/>
      <c r="N39" s="632"/>
      <c r="O39" s="632"/>
      <c r="P39" s="632"/>
      <c r="Q39" s="632"/>
      <c r="R39" s="637"/>
      <c r="S39" s="637"/>
    </row>
    <row r="40" spans="2:25">
      <c r="B40" s="610" t="s">
        <v>432</v>
      </c>
      <c r="C40" s="606"/>
      <c r="D40" s="606"/>
      <c r="E40" s="668">
        <f>((((E39-E38)/3)/E38)+(((E39-E38)/3)/E39))/2</f>
        <v>3.8190354450643324E-2</v>
      </c>
      <c r="F40" s="639">
        <v>1.0382</v>
      </c>
      <c r="G40" s="632"/>
      <c r="H40" s="632"/>
      <c r="I40" s="632"/>
      <c r="J40" s="632"/>
      <c r="K40" s="632"/>
      <c r="L40" s="632"/>
      <c r="M40" s="632"/>
      <c r="N40" s="632"/>
      <c r="O40" s="632"/>
      <c r="P40" s="632"/>
      <c r="Q40" s="632"/>
      <c r="R40" s="632"/>
      <c r="S40" s="632"/>
      <c r="W40" s="636"/>
      <c r="X40" s="636"/>
      <c r="Y40" s="636"/>
    </row>
    <row r="41" spans="2:25">
      <c r="B41" s="631"/>
      <c r="C41" s="632"/>
      <c r="D41" s="632"/>
      <c r="E41" s="638"/>
      <c r="F41" s="639"/>
      <c r="G41" s="632"/>
      <c r="H41" s="632"/>
      <c r="I41" s="632"/>
      <c r="J41" s="632"/>
      <c r="K41" s="632"/>
      <c r="L41" s="632"/>
      <c r="M41" s="632"/>
      <c r="N41" s="632"/>
      <c r="O41" s="632"/>
      <c r="P41" s="632"/>
      <c r="Q41" s="632"/>
      <c r="R41" s="632"/>
      <c r="S41" s="632"/>
      <c r="T41" s="636"/>
      <c r="U41" s="636"/>
      <c r="V41" s="636"/>
      <c r="W41" s="636"/>
      <c r="X41" s="636"/>
      <c r="Y41" s="636"/>
    </row>
    <row r="42" spans="2:25">
      <c r="B42" s="610" t="s">
        <v>431</v>
      </c>
      <c r="C42" s="606"/>
      <c r="D42" s="606"/>
      <c r="E42" s="610" t="s">
        <v>433</v>
      </c>
      <c r="F42" s="606"/>
      <c r="G42" s="606"/>
      <c r="H42" s="606"/>
      <c r="I42" s="606"/>
      <c r="J42" s="632"/>
      <c r="K42" s="608" t="s">
        <v>436</v>
      </c>
      <c r="L42" s="609" t="s">
        <v>72</v>
      </c>
      <c r="M42" s="609" t="s">
        <v>107</v>
      </c>
      <c r="N42" s="609" t="s">
        <v>73</v>
      </c>
      <c r="O42" s="609" t="s">
        <v>120</v>
      </c>
      <c r="P42" s="609" t="s">
        <v>108</v>
      </c>
      <c r="Q42" s="609" t="s">
        <v>122</v>
      </c>
      <c r="R42" s="609" t="s">
        <v>109</v>
      </c>
      <c r="S42" s="609" t="s">
        <v>110</v>
      </c>
      <c r="V42" s="636"/>
      <c r="W42" s="636"/>
      <c r="X42" s="636"/>
      <c r="Y42" s="636"/>
    </row>
    <row r="43" spans="2:25">
      <c r="B43" s="610" t="s">
        <v>81</v>
      </c>
      <c r="C43" s="643">
        <f>E38</f>
        <v>100300</v>
      </c>
      <c r="D43" s="632"/>
      <c r="E43" s="610" t="s">
        <v>648</v>
      </c>
      <c r="F43" s="610" t="s">
        <v>411</v>
      </c>
      <c r="G43" s="606"/>
      <c r="H43" s="615" t="s">
        <v>438</v>
      </c>
      <c r="I43" s="606"/>
      <c r="J43" s="632"/>
      <c r="K43" s="611">
        <v>43525</v>
      </c>
      <c r="L43" s="665">
        <v>425706</v>
      </c>
      <c r="M43" s="665">
        <v>8071071</v>
      </c>
      <c r="N43" s="665">
        <v>245562</v>
      </c>
      <c r="O43" s="665">
        <v>5076512</v>
      </c>
      <c r="P43" s="665">
        <v>1748630</v>
      </c>
      <c r="Q43" s="665">
        <v>533308</v>
      </c>
      <c r="R43" s="665">
        <v>6566170</v>
      </c>
      <c r="S43" s="665">
        <v>2615794</v>
      </c>
      <c r="V43" s="636"/>
      <c r="W43" s="636"/>
      <c r="X43" s="636"/>
      <c r="Y43" s="636"/>
    </row>
    <row r="44" spans="2:25">
      <c r="B44" s="610" t="s">
        <v>80</v>
      </c>
      <c r="C44" s="669">
        <f>$F$40*C43</f>
        <v>104131.46</v>
      </c>
      <c r="D44" s="632"/>
      <c r="E44" s="606" t="s">
        <v>72</v>
      </c>
      <c r="F44" s="658">
        <v>343</v>
      </c>
      <c r="G44" s="606"/>
      <c r="H44" s="672">
        <f>F44/C52</f>
        <v>2.4358900336318812E-3</v>
      </c>
      <c r="I44" s="606"/>
      <c r="J44" s="632"/>
      <c r="K44" s="612" t="s">
        <v>437</v>
      </c>
      <c r="L44" s="7">
        <f>SUM(L43:S43)</f>
        <v>25282753</v>
      </c>
      <c r="M44" s="613"/>
      <c r="N44" s="613"/>
      <c r="O44" s="613"/>
      <c r="P44" s="613"/>
      <c r="Q44" s="613"/>
      <c r="R44" s="613"/>
      <c r="S44" s="613"/>
      <c r="T44" s="636"/>
      <c r="U44" s="636"/>
      <c r="V44" s="636"/>
      <c r="W44" s="636"/>
      <c r="X44" s="636"/>
      <c r="Y44" s="636"/>
    </row>
    <row r="45" spans="2:25">
      <c r="B45" s="610" t="s">
        <v>79</v>
      </c>
      <c r="C45" s="669">
        <f>$F$40*C44</f>
        <v>108109.281772</v>
      </c>
      <c r="D45" s="632"/>
      <c r="E45" s="606" t="s">
        <v>107</v>
      </c>
      <c r="F45" s="614"/>
      <c r="G45" s="670">
        <f>F54</f>
        <v>49877.546046928052</v>
      </c>
      <c r="H45" s="649">
        <f>G45/C52</f>
        <v>0.35421637701961306</v>
      </c>
      <c r="I45" s="606"/>
      <c r="J45" s="632"/>
      <c r="K45" s="666" t="s">
        <v>654</v>
      </c>
      <c r="L45" s="667" t="s">
        <v>747</v>
      </c>
      <c r="M45" s="606"/>
      <c r="N45" s="606"/>
      <c r="O45" s="606"/>
      <c r="P45" s="606"/>
      <c r="Q45" s="606"/>
      <c r="R45" s="606"/>
      <c r="S45" s="606"/>
      <c r="T45" s="636"/>
      <c r="U45" s="636"/>
      <c r="V45" s="636"/>
      <c r="W45" s="636"/>
      <c r="X45" s="636"/>
      <c r="Y45" s="636"/>
    </row>
    <row r="46" spans="2:25">
      <c r="B46" s="610" t="s">
        <v>78</v>
      </c>
      <c r="C46" s="629">
        <f>E39</f>
        <v>112447.62684124387</v>
      </c>
      <c r="D46" s="632"/>
      <c r="E46" s="606" t="s">
        <v>73</v>
      </c>
      <c r="F46" s="658">
        <v>1730</v>
      </c>
      <c r="G46" s="606"/>
      <c r="H46" s="649">
        <f>F46/$C$52</f>
        <v>1.2285975971379459E-2</v>
      </c>
      <c r="I46" s="606"/>
      <c r="J46" s="632"/>
      <c r="K46" s="632"/>
      <c r="L46" s="632"/>
      <c r="M46" s="632"/>
      <c r="N46" s="632"/>
      <c r="O46" s="632"/>
      <c r="P46" s="632"/>
      <c r="Q46" s="632"/>
      <c r="R46" s="632"/>
      <c r="S46" s="632"/>
      <c r="T46" s="636"/>
      <c r="U46" s="636"/>
      <c r="V46" s="636"/>
      <c r="W46" s="636"/>
      <c r="X46" s="636"/>
      <c r="Y46" s="636"/>
    </row>
    <row r="47" spans="2:25">
      <c r="B47" s="610" t="s">
        <v>77</v>
      </c>
      <c r="C47" s="669">
        <f t="shared" ref="C47:C52" si="7">$F$40*C46</f>
        <v>116743.12618657938</v>
      </c>
      <c r="D47" s="632"/>
      <c r="E47" s="606" t="s">
        <v>120</v>
      </c>
      <c r="F47" s="658">
        <v>28703</v>
      </c>
      <c r="G47" s="606"/>
      <c r="H47" s="649">
        <f>F47/$C$52</f>
        <v>0.20384067532167896</v>
      </c>
      <c r="I47" s="606"/>
      <c r="J47" s="632"/>
      <c r="K47" s="632"/>
      <c r="L47" s="632"/>
      <c r="M47" s="632"/>
      <c r="N47" s="632"/>
      <c r="O47" s="632"/>
      <c r="P47" s="632"/>
      <c r="Q47" s="632"/>
      <c r="R47" s="632"/>
      <c r="S47" s="632"/>
      <c r="T47" s="636"/>
      <c r="U47" s="636"/>
      <c r="V47" s="636"/>
      <c r="W47" s="636"/>
      <c r="X47" s="636"/>
      <c r="Y47" s="636"/>
    </row>
    <row r="48" spans="2:25">
      <c r="B48" s="610" t="s">
        <v>76</v>
      </c>
      <c r="C48" s="669">
        <f t="shared" si="7"/>
        <v>121202.71360690671</v>
      </c>
      <c r="D48" s="632"/>
      <c r="E48" s="606" t="s">
        <v>108</v>
      </c>
      <c r="F48" s="658">
        <f>'Generation by financial year'!CL27</f>
        <v>10384.675257003501</v>
      </c>
      <c r="G48" s="606"/>
      <c r="H48" s="649">
        <f>F48/$C$52</f>
        <v>7.374905819544729E-2</v>
      </c>
      <c r="I48" s="606"/>
      <c r="J48" s="632"/>
      <c r="K48" s="632"/>
      <c r="L48" s="632"/>
      <c r="M48" s="632"/>
      <c r="N48" s="632"/>
      <c r="O48" s="632"/>
      <c r="P48" s="632"/>
      <c r="Q48" s="632"/>
      <c r="R48" s="632"/>
      <c r="S48" s="632"/>
      <c r="T48" s="636"/>
      <c r="U48" s="636"/>
      <c r="V48" s="636"/>
      <c r="W48" s="636"/>
      <c r="X48" s="636"/>
      <c r="Y48" s="636"/>
    </row>
    <row r="49" spans="2:25">
      <c r="B49" s="610" t="s">
        <v>85</v>
      </c>
      <c r="C49" s="669">
        <f t="shared" si="7"/>
        <v>125832.65726669054</v>
      </c>
      <c r="D49" s="632"/>
      <c r="E49" s="606" t="s">
        <v>122</v>
      </c>
      <c r="F49" s="614"/>
      <c r="G49" s="670">
        <f>F55</f>
        <v>3295.7329116786486</v>
      </c>
      <c r="H49" s="649">
        <f>G49/$C$52</f>
        <v>2.3405373041022162E-2</v>
      </c>
      <c r="I49" s="606"/>
      <c r="J49" s="632"/>
      <c r="K49" s="632"/>
      <c r="L49" s="632"/>
      <c r="M49" s="632"/>
      <c r="N49" s="632"/>
      <c r="O49" s="632"/>
      <c r="P49" s="632"/>
      <c r="Q49" s="632"/>
      <c r="R49" s="632"/>
      <c r="S49" s="632"/>
      <c r="T49" s="636"/>
      <c r="U49" s="636"/>
      <c r="V49" s="636"/>
      <c r="W49" s="636"/>
      <c r="X49" s="636"/>
      <c r="Y49" s="636"/>
    </row>
    <row r="50" spans="2:25">
      <c r="B50" s="610" t="s">
        <v>89</v>
      </c>
      <c r="C50" s="669">
        <f t="shared" si="7"/>
        <v>130639.46477427812</v>
      </c>
      <c r="D50" s="632"/>
      <c r="E50" s="606" t="s">
        <v>109</v>
      </c>
      <c r="F50" s="658">
        <v>40970</v>
      </c>
      <c r="G50" s="606"/>
      <c r="H50" s="649">
        <f>F50/$C$52</f>
        <v>0.29095747719503839</v>
      </c>
      <c r="I50" s="606"/>
      <c r="J50" s="632"/>
      <c r="K50" s="632"/>
      <c r="L50" s="632"/>
      <c r="M50" s="632"/>
      <c r="N50" s="632"/>
      <c r="O50" s="632"/>
      <c r="P50" s="632"/>
      <c r="Q50" s="632"/>
      <c r="R50" s="637"/>
      <c r="S50" s="632"/>
      <c r="T50" s="636"/>
      <c r="U50" s="636"/>
      <c r="V50" s="636"/>
      <c r="W50" s="636"/>
      <c r="X50" s="636"/>
      <c r="Y50" s="636"/>
    </row>
    <row r="51" spans="2:25">
      <c r="B51" s="610" t="s">
        <v>408</v>
      </c>
      <c r="C51" s="669">
        <f t="shared" si="7"/>
        <v>135629.89232865555</v>
      </c>
      <c r="D51" s="632"/>
      <c r="E51" s="606" t="s">
        <v>110</v>
      </c>
      <c r="F51" s="658">
        <v>5507</v>
      </c>
      <c r="G51" s="606"/>
      <c r="H51" s="649">
        <f>F51/$C$52</f>
        <v>3.9109173222188834E-2</v>
      </c>
      <c r="I51" s="606"/>
      <c r="J51" s="632"/>
      <c r="K51" s="632"/>
      <c r="L51" s="632"/>
      <c r="M51" s="632"/>
      <c r="N51" s="632"/>
      <c r="O51" s="632"/>
      <c r="P51" s="632"/>
      <c r="Q51" s="632"/>
      <c r="R51" s="632"/>
      <c r="S51" s="632"/>
      <c r="T51" s="636"/>
      <c r="U51" s="636"/>
      <c r="V51" s="636"/>
      <c r="W51" s="636"/>
      <c r="X51" s="636"/>
      <c r="Y51" s="636"/>
    </row>
    <row r="52" spans="2:25">
      <c r="B52" s="610" t="s">
        <v>409</v>
      </c>
      <c r="C52" s="669">
        <f t="shared" si="7"/>
        <v>140810.9542156102</v>
      </c>
      <c r="D52" s="632"/>
      <c r="E52" s="615" t="s">
        <v>434</v>
      </c>
      <c r="F52" s="671">
        <f>SUM(F44:F51)</f>
        <v>87637.675257003502</v>
      </c>
      <c r="G52" s="606"/>
      <c r="H52" s="616"/>
      <c r="I52" s="606"/>
      <c r="J52" s="632"/>
      <c r="K52" s="632"/>
      <c r="L52" s="632"/>
      <c r="M52" s="632"/>
      <c r="N52" s="632"/>
      <c r="O52" s="632"/>
      <c r="P52" s="632"/>
      <c r="Q52" s="632"/>
      <c r="R52" s="632"/>
      <c r="S52" s="632"/>
      <c r="T52" s="636"/>
      <c r="U52" s="636"/>
      <c r="V52" s="636"/>
      <c r="W52" s="636"/>
      <c r="X52" s="636"/>
      <c r="Y52" s="636"/>
    </row>
    <row r="53" spans="2:25">
      <c r="B53" s="632"/>
      <c r="C53" s="632"/>
      <c r="D53" s="632"/>
      <c r="E53" s="615" t="s">
        <v>435</v>
      </c>
      <c r="F53" s="629">
        <f>C52-F52</f>
        <v>53173.278958606694</v>
      </c>
      <c r="G53" s="606"/>
      <c r="H53" s="606"/>
      <c r="I53" s="606"/>
      <c r="J53" s="632"/>
      <c r="K53" s="632"/>
      <c r="L53" s="632"/>
      <c r="M53" s="632"/>
      <c r="N53" s="632"/>
      <c r="O53" s="632"/>
      <c r="P53" s="632"/>
      <c r="Q53" s="632"/>
      <c r="R53" s="632"/>
      <c r="S53" s="632"/>
      <c r="T53" s="636"/>
      <c r="U53" s="636"/>
      <c r="V53" s="636"/>
      <c r="W53" s="636"/>
      <c r="X53" s="636"/>
      <c r="Y53" s="636"/>
    </row>
    <row r="54" spans="2:25">
      <c r="B54" s="632"/>
      <c r="C54" s="632"/>
      <c r="D54" s="632"/>
      <c r="E54" s="615" t="s">
        <v>107</v>
      </c>
      <c r="F54" s="670">
        <f>F53*(M43/(M43+Q43))</f>
        <v>49877.546046928052</v>
      </c>
      <c r="G54" s="606"/>
      <c r="H54" s="606"/>
      <c r="I54" s="606"/>
      <c r="J54" s="632"/>
      <c r="K54" s="632"/>
      <c r="L54" s="632"/>
      <c r="M54" s="632"/>
      <c r="N54" s="632"/>
      <c r="O54" s="632"/>
      <c r="P54" s="632"/>
      <c r="Q54" s="632"/>
      <c r="R54" s="632"/>
      <c r="S54" s="632"/>
      <c r="T54" s="636"/>
      <c r="U54" s="636"/>
      <c r="V54" s="636"/>
      <c r="W54" s="636"/>
      <c r="X54" s="636"/>
      <c r="Y54" s="636"/>
    </row>
    <row r="55" spans="2:25">
      <c r="B55" s="632"/>
      <c r="C55" s="632"/>
      <c r="D55" s="632"/>
      <c r="E55" s="615" t="s">
        <v>122</v>
      </c>
      <c r="F55" s="670">
        <f>F53*(Q43/(M43+Q43))</f>
        <v>3295.7329116786486</v>
      </c>
      <c r="G55" s="606"/>
      <c r="H55" s="606"/>
      <c r="I55" s="606"/>
      <c r="J55" s="632"/>
      <c r="K55" s="632"/>
      <c r="L55" s="632"/>
      <c r="M55" s="632"/>
      <c r="N55" s="632"/>
      <c r="O55" s="632"/>
      <c r="P55" s="632"/>
      <c r="Q55" s="632"/>
      <c r="R55" s="632"/>
      <c r="S55" s="632"/>
      <c r="V55" s="636"/>
      <c r="W55" s="636"/>
      <c r="X55" s="636"/>
      <c r="Y55" s="636"/>
    </row>
    <row r="56" spans="2:25">
      <c r="V56" s="636"/>
      <c r="W56" s="636"/>
      <c r="X56" s="636"/>
      <c r="Y56" s="636"/>
    </row>
    <row r="57" spans="2:25" ht="15.75">
      <c r="B57" s="654" t="s">
        <v>699</v>
      </c>
      <c r="C57" s="626"/>
      <c r="D57" s="626"/>
      <c r="E57" s="626"/>
      <c r="F57" s="626"/>
      <c r="G57" s="626"/>
      <c r="H57" s="626"/>
      <c r="I57" s="626"/>
      <c r="J57" s="626"/>
      <c r="K57" s="626"/>
      <c r="L57" s="626"/>
      <c r="M57" s="626"/>
      <c r="N57" s="626"/>
      <c r="O57" s="626"/>
      <c r="P57" s="626"/>
      <c r="V57" s="636"/>
      <c r="W57" s="636"/>
      <c r="X57" s="636"/>
      <c r="Y57" s="636"/>
    </row>
    <row r="58" spans="2:25">
      <c r="B58" s="617"/>
      <c r="C58" s="618" t="s">
        <v>553</v>
      </c>
      <c r="D58" s="618" t="s">
        <v>86</v>
      </c>
      <c r="E58" s="618" t="s">
        <v>83</v>
      </c>
      <c r="F58" s="618" t="s">
        <v>82</v>
      </c>
      <c r="G58" s="618" t="s">
        <v>81</v>
      </c>
      <c r="H58" s="618" t="s">
        <v>80</v>
      </c>
      <c r="I58" s="618" t="s">
        <v>79</v>
      </c>
      <c r="J58" s="618" t="s">
        <v>78</v>
      </c>
      <c r="K58" s="618" t="s">
        <v>77</v>
      </c>
      <c r="L58" s="618" t="s">
        <v>76</v>
      </c>
      <c r="M58" s="618" t="s">
        <v>85</v>
      </c>
      <c r="N58" s="618" t="s">
        <v>89</v>
      </c>
      <c r="O58" s="618" t="s">
        <v>408</v>
      </c>
      <c r="P58" s="618" t="s">
        <v>409</v>
      </c>
      <c r="U58" s="636"/>
      <c r="V58" s="636"/>
      <c r="W58" s="636"/>
      <c r="X58" s="636"/>
    </row>
    <row r="59" spans="2:25">
      <c r="B59" s="619" t="s">
        <v>554</v>
      </c>
      <c r="C59" s="620"/>
      <c r="D59" s="620"/>
      <c r="E59" s="620"/>
      <c r="F59" s="620"/>
      <c r="G59" s="620"/>
      <c r="H59" s="620"/>
      <c r="I59" s="620"/>
      <c r="J59" s="620"/>
      <c r="K59" s="620"/>
      <c r="L59" s="620"/>
      <c r="M59" s="620"/>
      <c r="N59" s="620"/>
      <c r="O59" s="620"/>
      <c r="P59" s="620"/>
      <c r="U59" s="636"/>
      <c r="V59" s="636"/>
      <c r="W59" s="636"/>
      <c r="X59" s="636"/>
    </row>
    <row r="60" spans="2:25">
      <c r="B60" s="673" t="s">
        <v>556</v>
      </c>
      <c r="C60" s="621"/>
      <c r="D60" s="621"/>
      <c r="E60" s="621"/>
      <c r="F60" s="621"/>
      <c r="G60" s="621"/>
      <c r="H60" s="621"/>
      <c r="I60" s="621"/>
      <c r="J60" s="621"/>
      <c r="K60" s="621"/>
      <c r="L60" s="621"/>
      <c r="M60" s="621"/>
      <c r="N60" s="621"/>
      <c r="O60" s="621"/>
      <c r="P60" s="621"/>
      <c r="U60" s="636"/>
      <c r="V60" s="636"/>
      <c r="W60" s="636"/>
      <c r="X60" s="636"/>
    </row>
    <row r="61" spans="2:25">
      <c r="B61" s="619" t="s">
        <v>555</v>
      </c>
      <c r="C61" s="674">
        <v>242601</v>
      </c>
      <c r="D61" s="674">
        <v>125156</v>
      </c>
      <c r="E61" s="674">
        <v>289421</v>
      </c>
      <c r="F61" s="674">
        <v>125894</v>
      </c>
      <c r="G61" s="674">
        <v>174176</v>
      </c>
      <c r="H61" s="674">
        <v>417200</v>
      </c>
      <c r="I61" s="674">
        <v>821167</v>
      </c>
      <c r="J61" s="674">
        <v>510703</v>
      </c>
      <c r="K61" s="674">
        <v>383781</v>
      </c>
      <c r="L61" s="674">
        <v>531014</v>
      </c>
      <c r="M61" s="674">
        <v>458673</v>
      </c>
      <c r="N61" s="674">
        <v>617097</v>
      </c>
      <c r="O61" s="674">
        <v>802620</v>
      </c>
      <c r="P61" s="674">
        <v>416667</v>
      </c>
      <c r="U61" s="636"/>
      <c r="V61" s="636"/>
      <c r="W61" s="636"/>
      <c r="X61" s="636"/>
    </row>
    <row r="62" spans="2:25">
      <c r="B62" s="622" t="s">
        <v>14</v>
      </c>
      <c r="C62" s="674">
        <v>11702</v>
      </c>
      <c r="D62" s="674">
        <v>6232</v>
      </c>
      <c r="E62" s="674">
        <v>7013</v>
      </c>
      <c r="F62" s="674">
        <v>1766</v>
      </c>
      <c r="G62" s="674">
        <v>1495</v>
      </c>
      <c r="H62" s="674">
        <v>2889</v>
      </c>
      <c r="I62" s="674">
        <v>11226</v>
      </c>
      <c r="J62" s="674">
        <v>9259</v>
      </c>
      <c r="K62" s="674">
        <v>91417</v>
      </c>
      <c r="L62" s="674">
        <v>96711</v>
      </c>
      <c r="M62" s="674">
        <v>38259</v>
      </c>
      <c r="N62" s="674">
        <v>55964</v>
      </c>
      <c r="O62" s="674">
        <v>65826</v>
      </c>
      <c r="P62" s="674">
        <v>11120</v>
      </c>
      <c r="U62" s="636"/>
      <c r="V62" s="636"/>
      <c r="W62" s="636"/>
      <c r="X62" s="636"/>
    </row>
    <row r="63" spans="2:25">
      <c r="B63" s="622" t="s">
        <v>15</v>
      </c>
      <c r="C63" s="674">
        <v>5299</v>
      </c>
      <c r="D63" s="674">
        <v>4623</v>
      </c>
      <c r="E63" s="674">
        <v>4365</v>
      </c>
      <c r="F63" s="674">
        <v>7330</v>
      </c>
      <c r="G63" s="674">
        <v>15538</v>
      </c>
      <c r="H63" s="674">
        <v>19933</v>
      </c>
      <c r="I63" s="674">
        <v>20436</v>
      </c>
      <c r="J63" s="674">
        <v>33664</v>
      </c>
      <c r="K63" s="674">
        <v>73266</v>
      </c>
      <c r="L63" s="674">
        <v>86552</v>
      </c>
      <c r="M63" s="674">
        <v>90947</v>
      </c>
      <c r="N63" s="674">
        <v>123598</v>
      </c>
      <c r="O63" s="674">
        <v>179734</v>
      </c>
      <c r="P63" s="674">
        <v>21</v>
      </c>
      <c r="U63" s="636"/>
      <c r="V63" s="636"/>
      <c r="W63" s="636"/>
      <c r="X63" s="636"/>
    </row>
    <row r="64" spans="2:25">
      <c r="B64" s="619"/>
      <c r="C64" s="675" t="s">
        <v>557</v>
      </c>
      <c r="D64" s="624"/>
      <c r="E64" s="624"/>
      <c r="F64" s="624"/>
      <c r="G64" s="624"/>
      <c r="H64" s="624"/>
      <c r="I64" s="624"/>
      <c r="J64" s="624"/>
      <c r="K64" s="624"/>
      <c r="L64" s="624"/>
      <c r="M64" s="624"/>
      <c r="N64" s="624"/>
      <c r="O64" s="624"/>
      <c r="P64" s="624"/>
      <c r="U64" s="636"/>
      <c r="V64" s="636"/>
      <c r="W64" s="636"/>
      <c r="X64" s="636"/>
    </row>
    <row r="65" spans="2:21">
      <c r="B65" s="675" t="s">
        <v>558</v>
      </c>
      <c r="C65" s="603"/>
      <c r="D65" s="244">
        <v>989.28</v>
      </c>
      <c r="E65" s="244">
        <v>2343.92</v>
      </c>
      <c r="F65" s="244">
        <v>44.18</v>
      </c>
      <c r="G65" s="244">
        <v>70.92</v>
      </c>
      <c r="H65" s="244">
        <v>148.19</v>
      </c>
      <c r="I65" s="244">
        <v>7669.51</v>
      </c>
      <c r="J65" s="244">
        <v>6746.53</v>
      </c>
      <c r="K65" s="679">
        <v>115391</v>
      </c>
      <c r="L65" s="679">
        <v>105558</v>
      </c>
      <c r="M65" s="679">
        <v>92744.83</v>
      </c>
      <c r="N65" s="679">
        <v>145018</v>
      </c>
      <c r="O65" s="7">
        <v>212584.8</v>
      </c>
      <c r="P65" s="623"/>
      <c r="U65" s="636"/>
    </row>
    <row r="66" spans="2:21">
      <c r="B66" s="675" t="s">
        <v>559</v>
      </c>
      <c r="C66" s="603"/>
      <c r="D66" s="556">
        <f>0.5*D65</f>
        <v>494.64</v>
      </c>
      <c r="E66" s="556">
        <f t="shared" ref="E66:H66" si="8">0.5*E65</f>
        <v>1171.96</v>
      </c>
      <c r="F66" s="556">
        <f t="shared" si="8"/>
        <v>22.09</v>
      </c>
      <c r="G66" s="556">
        <f t="shared" si="8"/>
        <v>35.46</v>
      </c>
      <c r="H66" s="556">
        <f t="shared" si="8"/>
        <v>74.094999999999999</v>
      </c>
      <c r="I66" s="556">
        <v>0</v>
      </c>
      <c r="J66" s="556">
        <f>0*J65</f>
        <v>0</v>
      </c>
      <c r="K66" s="556">
        <f>K62-J8-J18-'Generation by financial year'!CG27</f>
        <v>80681.825928207225</v>
      </c>
      <c r="L66" s="556">
        <f>L62-K8-K18-'Generation by financial year'!CH27</f>
        <v>85375.003368344347</v>
      </c>
      <c r="M66" s="556">
        <f>M62-'Generation by financial year'!CI27-L8-L18</f>
        <v>27017.960036351065</v>
      </c>
      <c r="N66" s="680">
        <v>51529.608999999997</v>
      </c>
      <c r="O66" s="680">
        <v>61048</v>
      </c>
      <c r="P66" s="603"/>
    </row>
    <row r="67" spans="2:21">
      <c r="B67" s="675" t="s">
        <v>560</v>
      </c>
      <c r="C67" s="603"/>
      <c r="D67" s="556">
        <f>0.5*D65</f>
        <v>494.64</v>
      </c>
      <c r="E67" s="556">
        <f t="shared" ref="E67:H67" si="9">0.5*E65</f>
        <v>1171.96</v>
      </c>
      <c r="F67" s="556">
        <f t="shared" si="9"/>
        <v>22.09</v>
      </c>
      <c r="G67" s="556">
        <f t="shared" si="9"/>
        <v>35.46</v>
      </c>
      <c r="H67" s="556">
        <f t="shared" si="9"/>
        <v>74.094999999999999</v>
      </c>
      <c r="I67" s="556">
        <f>1*I65</f>
        <v>7669.51</v>
      </c>
      <c r="J67" s="556">
        <f>J65</f>
        <v>6746.53</v>
      </c>
      <c r="K67" s="556">
        <f>K65-K66</f>
        <v>34709.174071792775</v>
      </c>
      <c r="L67" s="556">
        <f>L65-L66</f>
        <v>20182.996631655653</v>
      </c>
      <c r="M67" s="556">
        <f>M65-M66</f>
        <v>65726.869963648933</v>
      </c>
      <c r="N67" s="680">
        <v>93488.254000000001</v>
      </c>
      <c r="O67" s="680">
        <v>151536</v>
      </c>
      <c r="P67" s="603"/>
    </row>
    <row r="68" spans="2:21">
      <c r="B68" s="675" t="s">
        <v>563</v>
      </c>
      <c r="C68" s="603"/>
      <c r="D68" s="556">
        <f t="shared" ref="D68:M68" si="10">C7</f>
        <v>1298.8544492496133</v>
      </c>
      <c r="E68" s="556">
        <f t="shared" si="10"/>
        <v>706.1906503146555</v>
      </c>
      <c r="F68" s="556">
        <f t="shared" si="10"/>
        <v>2510.1055013715859</v>
      </c>
      <c r="G68" s="556">
        <f t="shared" si="10"/>
        <v>2225.8414168145473</v>
      </c>
      <c r="H68" s="556">
        <f t="shared" si="10"/>
        <v>6467.4548797804209</v>
      </c>
      <c r="I68" s="556">
        <f t="shared" si="10"/>
        <v>5240.1134077778615</v>
      </c>
      <c r="J68" s="556">
        <f t="shared" si="10"/>
        <v>12690.871724705272</v>
      </c>
      <c r="K68" s="556">
        <f t="shared" si="10"/>
        <v>11282.066072938313</v>
      </c>
      <c r="L68" s="556">
        <f t="shared" si="10"/>
        <v>10815.443896401288</v>
      </c>
      <c r="M68" s="556">
        <f t="shared" si="10"/>
        <v>9241</v>
      </c>
      <c r="N68" s="658">
        <v>10545</v>
      </c>
      <c r="O68" s="658">
        <f>N7</f>
        <v>9898</v>
      </c>
      <c r="P68" s="603"/>
    </row>
    <row r="69" spans="2:21">
      <c r="B69" s="675" t="s">
        <v>564</v>
      </c>
      <c r="C69" s="603"/>
      <c r="D69" s="556">
        <f t="shared" ref="D69:P69" si="11">C17</f>
        <v>2319.1274170273659</v>
      </c>
      <c r="E69" s="556">
        <f t="shared" si="11"/>
        <v>2280.5282199013714</v>
      </c>
      <c r="F69" s="556">
        <f t="shared" si="11"/>
        <v>5634.2756849835832</v>
      </c>
      <c r="G69" s="556">
        <f t="shared" si="11"/>
        <v>12258.063191022231</v>
      </c>
      <c r="H69" s="556">
        <f t="shared" si="11"/>
        <v>11122.585678646346</v>
      </c>
      <c r="I69" s="556">
        <f t="shared" si="11"/>
        <v>14062.819397082165</v>
      </c>
      <c r="J69" s="556">
        <f t="shared" si="11"/>
        <v>12558.109968970126</v>
      </c>
      <c r="K69" s="556">
        <f t="shared" si="11"/>
        <v>10219.455462321406</v>
      </c>
      <c r="L69" s="556">
        <f t="shared" si="11"/>
        <v>14472.145451184941</v>
      </c>
      <c r="M69" s="556">
        <f t="shared" si="11"/>
        <v>14530</v>
      </c>
      <c r="N69" s="658">
        <f t="shared" si="11"/>
        <v>19557.327799999999</v>
      </c>
      <c r="O69" s="658">
        <f t="shared" si="11"/>
        <v>18290.679999999993</v>
      </c>
      <c r="P69" s="556">
        <f t="shared" si="11"/>
        <v>18813.583787466941</v>
      </c>
    </row>
    <row r="70" spans="2:21">
      <c r="B70" s="675" t="s">
        <v>720</v>
      </c>
      <c r="C70" s="603"/>
      <c r="D70" s="655">
        <v>45</v>
      </c>
      <c r="E70" s="655">
        <v>80</v>
      </c>
      <c r="F70" s="655">
        <v>986</v>
      </c>
      <c r="G70" s="655">
        <v>1142</v>
      </c>
      <c r="H70" s="655">
        <v>398</v>
      </c>
      <c r="I70" s="655">
        <v>3556.28</v>
      </c>
      <c r="J70" s="655">
        <v>3223.3</v>
      </c>
      <c r="K70" s="655">
        <v>5919</v>
      </c>
      <c r="L70" s="655">
        <v>6303</v>
      </c>
      <c r="M70" s="655">
        <v>4182</v>
      </c>
      <c r="N70" s="655">
        <v>3680</v>
      </c>
      <c r="O70" s="655">
        <v>2256</v>
      </c>
      <c r="P70" s="603"/>
    </row>
    <row r="71" spans="2:21">
      <c r="B71" s="678" t="s">
        <v>561</v>
      </c>
      <c r="C71" s="677"/>
      <c r="D71" s="676">
        <f t="shared" ref="D71:O71" si="12">D62-D66-C8-C18+D70</f>
        <v>5449.7218662769792</v>
      </c>
      <c r="E71" s="676">
        <f t="shared" si="12"/>
        <v>5661.7088702160272</v>
      </c>
      <c r="F71" s="676">
        <f t="shared" si="12"/>
        <v>1998.3711863551689</v>
      </c>
      <c r="G71" s="676">
        <f t="shared" si="12"/>
        <v>1393.934607836778</v>
      </c>
      <c r="H71" s="676">
        <f t="shared" si="12"/>
        <v>1589.3055584267686</v>
      </c>
      <c r="I71" s="676">
        <f t="shared" si="12"/>
        <v>13078.042804860028</v>
      </c>
      <c r="J71" s="676">
        <f t="shared" si="12"/>
        <v>10009.631693675397</v>
      </c>
      <c r="K71" s="676">
        <f t="shared" si="12"/>
        <v>14528.695607052494</v>
      </c>
      <c r="L71" s="676">
        <f t="shared" si="12"/>
        <v>15241.585979241881</v>
      </c>
      <c r="M71" s="676">
        <f t="shared" si="12"/>
        <v>13462.039963648935</v>
      </c>
      <c r="N71" s="676">
        <f t="shared" si="12"/>
        <v>6372.5610000000033</v>
      </c>
      <c r="O71" s="676">
        <f t="shared" si="12"/>
        <v>4827.2280000000001</v>
      </c>
      <c r="P71" s="677"/>
    </row>
    <row r="72" spans="2:21">
      <c r="B72" s="678" t="s">
        <v>562</v>
      </c>
      <c r="C72" s="677"/>
      <c r="D72" s="676">
        <f>D63-D67-D68-D69</f>
        <v>510.37813372302071</v>
      </c>
      <c r="E72" s="676">
        <f>E63-E67-E68-E69</f>
        <v>206.32112978397299</v>
      </c>
      <c r="F72" s="676">
        <f>F63-F67-F68-F69</f>
        <v>-836.47118635516927</v>
      </c>
      <c r="G72" s="676">
        <f>G63-G67-G68-G69</f>
        <v>1018.6353921632235</v>
      </c>
      <c r="H72" s="676">
        <f>H63-H67-H68-H69</f>
        <v>2268.8644415732324</v>
      </c>
      <c r="I72" s="676">
        <f>I63-I68-I69</f>
        <v>1133.0671951399727</v>
      </c>
      <c r="J72" s="676">
        <f t="shared" ref="J72:O72" si="13">J63-J67-J68-J69</f>
        <v>1668.4883063246034</v>
      </c>
      <c r="K72" s="676">
        <f>K63-K67-K68-K69</f>
        <v>17055.304392947506</v>
      </c>
      <c r="L72" s="676">
        <f t="shared" si="13"/>
        <v>41081.414020758122</v>
      </c>
      <c r="M72" s="676">
        <f t="shared" si="13"/>
        <v>1449.1300363510672</v>
      </c>
      <c r="N72" s="676">
        <f t="shared" si="13"/>
        <v>7.4182000000000698</v>
      </c>
      <c r="O72" s="676">
        <f t="shared" si="13"/>
        <v>9.3200000000069849</v>
      </c>
      <c r="P72" s="677"/>
    </row>
    <row r="73" spans="2:21">
      <c r="B73" s="675" t="s">
        <v>565</v>
      </c>
      <c r="C73" s="603"/>
      <c r="D73" s="558">
        <f t="shared" ref="D73:O73" si="14">D62/(D62+D63)</f>
        <v>0.57411331183786274</v>
      </c>
      <c r="E73" s="558">
        <f t="shared" si="14"/>
        <v>0.61636491474775879</v>
      </c>
      <c r="F73" s="558">
        <f t="shared" si="14"/>
        <v>0.19415127528583992</v>
      </c>
      <c r="G73" s="558">
        <f t="shared" si="14"/>
        <v>8.7770797862971872E-2</v>
      </c>
      <c r="H73" s="558">
        <f t="shared" si="14"/>
        <v>0.1265883796336868</v>
      </c>
      <c r="I73" s="558">
        <f t="shared" si="14"/>
        <v>0.35455751373886679</v>
      </c>
      <c r="J73" s="558">
        <f t="shared" si="14"/>
        <v>0.21571185611443749</v>
      </c>
      <c r="K73" s="558">
        <f t="shared" si="14"/>
        <v>0.55510890620161157</v>
      </c>
      <c r="L73" s="558">
        <f t="shared" si="14"/>
        <v>0.52771699688425922</v>
      </c>
      <c r="M73" s="558">
        <f t="shared" si="14"/>
        <v>0.29610853985109048</v>
      </c>
      <c r="N73" s="558">
        <f t="shared" si="14"/>
        <v>0.31166950691126183</v>
      </c>
      <c r="O73" s="558">
        <f t="shared" si="14"/>
        <v>0.26806483140576642</v>
      </c>
      <c r="P73" s="603"/>
    </row>
    <row r="74" spans="2:21">
      <c r="B74" s="112" t="s">
        <v>144</v>
      </c>
      <c r="C74" s="647" t="s">
        <v>736</v>
      </c>
    </row>
    <row r="75" spans="2:21">
      <c r="B75" s="112"/>
      <c r="C75" s="648" t="s">
        <v>748</v>
      </c>
      <c r="D75" s="645"/>
    </row>
  </sheetData>
  <phoneticPr fontId="63" type="noConversion"/>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977EB-F002-1348-BACB-4C3D14D74A3F}">
  <sheetPr>
    <tabColor rgb="FFFFFF00"/>
  </sheetPr>
  <dimension ref="A1:AF104"/>
  <sheetViews>
    <sheetView zoomScale="90" zoomScaleNormal="90" workbookViewId="0">
      <pane ySplit="2" topLeftCell="A3" activePane="bottomLeft" state="frozen"/>
      <selection pane="bottomLeft" activeCell="A3" sqref="A3"/>
    </sheetView>
  </sheetViews>
  <sheetFormatPr defaultColWidth="0" defaultRowHeight="15"/>
  <cols>
    <col min="1" max="1" width="25.85546875" style="682" customWidth="1"/>
    <col min="2" max="2" width="34.7109375" style="682" customWidth="1"/>
    <col min="3" max="3" width="11.28515625" style="682" customWidth="1"/>
    <col min="4" max="4" width="11" style="682" customWidth="1"/>
    <col min="5" max="5" width="9.42578125" style="682" customWidth="1"/>
    <col min="6" max="6" width="9.85546875" style="682" customWidth="1"/>
    <col min="7" max="7" width="9.42578125" style="682" customWidth="1"/>
    <col min="8" max="8" width="9.7109375" style="682" customWidth="1"/>
    <col min="9" max="9" width="11" style="682" customWidth="1"/>
    <col min="10" max="10" width="10.140625" style="682" customWidth="1"/>
    <col min="11" max="11" width="11.42578125" style="682" customWidth="1"/>
    <col min="12" max="12" width="3.28515625" style="682" customWidth="1"/>
    <col min="13" max="13" width="23.140625" style="682" customWidth="1"/>
    <col min="14" max="14" width="11.28515625" style="682" customWidth="1"/>
    <col min="15" max="15" width="11" style="682" customWidth="1"/>
    <col min="16" max="16" width="9.42578125" style="682" customWidth="1"/>
    <col min="17" max="17" width="9.85546875" style="682" customWidth="1"/>
    <col min="18" max="18" width="9.42578125" style="682" customWidth="1"/>
    <col min="19" max="19" width="9.7109375" style="682" customWidth="1"/>
    <col min="20" max="20" width="11" style="682" customWidth="1"/>
    <col min="21" max="21" width="10.140625" style="682" customWidth="1"/>
    <col min="22" max="22" width="11.42578125" style="682" customWidth="1"/>
    <col min="23" max="23" width="23.140625" style="682" customWidth="1"/>
    <col min="24" max="24" width="11.28515625" style="682" customWidth="1"/>
    <col min="25" max="25" width="11" style="682" customWidth="1"/>
    <col min="26" max="26" width="9.42578125" style="682" customWidth="1"/>
    <col min="27" max="27" width="9.85546875" style="682" customWidth="1"/>
    <col min="28" max="28" width="9.42578125" style="682" customWidth="1"/>
    <col min="29" max="29" width="9.7109375" style="682" customWidth="1"/>
    <col min="30" max="30" width="11" style="682" customWidth="1"/>
    <col min="31" max="31" width="10.140625" style="682" customWidth="1"/>
    <col min="32" max="32" width="11.42578125" style="682" customWidth="1"/>
    <col min="33" max="16384" width="9.140625" style="682" hidden="1"/>
  </cols>
  <sheetData>
    <row r="1" spans="1:32" s="427" customFormat="1" ht="21">
      <c r="A1" s="428" t="s">
        <v>605</v>
      </c>
      <c r="C1" s="429"/>
      <c r="D1" s="429"/>
      <c r="N1" s="429"/>
      <c r="O1" s="429"/>
      <c r="X1" s="429"/>
      <c r="Y1" s="429"/>
    </row>
    <row r="2" spans="1:32" ht="7.5" customHeight="1"/>
    <row r="3" spans="1:32" s="430" customFormat="1" ht="15.75">
      <c r="A3" s="431" t="s">
        <v>606</v>
      </c>
      <c r="B3" s="432" t="s">
        <v>607</v>
      </c>
      <c r="C3" s="432"/>
      <c r="D3" s="432"/>
      <c r="E3" s="432"/>
      <c r="F3" s="432"/>
      <c r="G3" s="432"/>
      <c r="H3" s="432"/>
      <c r="I3" s="432"/>
      <c r="J3" s="432"/>
      <c r="K3" s="432"/>
      <c r="L3" s="432"/>
      <c r="M3" s="432"/>
      <c r="N3" s="432"/>
      <c r="O3" s="432"/>
      <c r="P3" s="432"/>
      <c r="Q3" s="432"/>
      <c r="R3" s="432"/>
      <c r="S3" s="432"/>
      <c r="T3" s="432"/>
      <c r="U3" s="432"/>
      <c r="V3" s="432"/>
      <c r="W3" s="432"/>
      <c r="X3" s="432"/>
      <c r="Y3" s="432"/>
      <c r="Z3" s="432"/>
      <c r="AA3" s="432"/>
      <c r="AB3" s="432"/>
      <c r="AC3" s="432"/>
      <c r="AD3" s="432"/>
      <c r="AE3" s="432"/>
      <c r="AF3" s="432"/>
    </row>
    <row r="4" spans="1:32" s="430" customFormat="1" ht="12.75" customHeight="1">
      <c r="A4" s="683" t="s">
        <v>750</v>
      </c>
      <c r="B4" s="434"/>
      <c r="C4" s="435" t="s">
        <v>72</v>
      </c>
      <c r="D4" s="435" t="s">
        <v>107</v>
      </c>
      <c r="E4" s="435" t="s">
        <v>73</v>
      </c>
      <c r="F4" s="435" t="s">
        <v>120</v>
      </c>
      <c r="G4" s="435" t="s">
        <v>108</v>
      </c>
      <c r="H4" s="435" t="s">
        <v>122</v>
      </c>
      <c r="I4" s="435" t="s">
        <v>109</v>
      </c>
      <c r="J4" s="435" t="s">
        <v>110</v>
      </c>
      <c r="K4" s="436" t="s">
        <v>608</v>
      </c>
      <c r="L4" s="434"/>
      <c r="N4" s="433"/>
      <c r="O4" s="433"/>
      <c r="P4" s="433"/>
      <c r="R4" s="433"/>
      <c r="S4" s="433"/>
      <c r="X4" s="433"/>
      <c r="Y4" s="433"/>
      <c r="Z4" s="433"/>
      <c r="AB4" s="433"/>
      <c r="AC4" s="433"/>
    </row>
    <row r="5" spans="1:32" s="430" customFormat="1" ht="12.75">
      <c r="B5" s="437">
        <v>39052</v>
      </c>
      <c r="C5" s="438">
        <v>338381</v>
      </c>
      <c r="D5" s="439">
        <v>6786160</v>
      </c>
      <c r="E5" s="439">
        <v>211029</v>
      </c>
      <c r="F5" s="439">
        <v>4055845</v>
      </c>
      <c r="G5" s="439">
        <v>1561300</v>
      </c>
      <c r="H5" s="439">
        <v>491515</v>
      </c>
      <c r="I5" s="439">
        <v>5103965</v>
      </c>
      <c r="J5" s="439">
        <v>2076867</v>
      </c>
      <c r="K5" s="440">
        <f>SUM(C5:J5)</f>
        <v>20625062</v>
      </c>
      <c r="L5" s="434"/>
      <c r="N5" s="433"/>
      <c r="O5" s="433"/>
      <c r="P5" s="433"/>
      <c r="R5" s="433"/>
      <c r="S5" s="433"/>
      <c r="X5" s="433"/>
      <c r="Y5" s="433"/>
      <c r="Z5" s="433"/>
      <c r="AB5" s="433"/>
      <c r="AC5" s="433"/>
    </row>
    <row r="6" spans="1:32" s="430" customFormat="1" ht="12.75">
      <c r="B6" s="437">
        <v>39417</v>
      </c>
      <c r="C6" s="441">
        <v>344176</v>
      </c>
      <c r="D6" s="442">
        <v>6883852</v>
      </c>
      <c r="E6" s="442">
        <v>216618</v>
      </c>
      <c r="F6" s="442">
        <v>4159990</v>
      </c>
      <c r="G6" s="442">
        <v>1578489</v>
      </c>
      <c r="H6" s="442">
        <v>495858</v>
      </c>
      <c r="I6" s="442">
        <v>5199503</v>
      </c>
      <c r="J6" s="442">
        <v>2135006</v>
      </c>
      <c r="K6" s="443">
        <f>SUM(C6:J6)</f>
        <v>21013492</v>
      </c>
      <c r="L6" s="434"/>
      <c r="N6" s="433"/>
      <c r="O6" s="433"/>
      <c r="P6" s="433"/>
      <c r="R6" s="433"/>
      <c r="S6" s="433"/>
      <c r="X6" s="433"/>
      <c r="Y6" s="433"/>
      <c r="Z6" s="433"/>
      <c r="AB6" s="433"/>
      <c r="AC6" s="433"/>
    </row>
    <row r="7" spans="1:32" s="430" customFormat="1" ht="12.75" customHeight="1">
      <c r="B7" s="437">
        <v>39783</v>
      </c>
      <c r="C7" s="441">
        <v>351101</v>
      </c>
      <c r="D7" s="442">
        <v>7001782</v>
      </c>
      <c r="E7" s="442">
        <v>222526</v>
      </c>
      <c r="F7" s="442">
        <v>4275551</v>
      </c>
      <c r="G7" s="442">
        <v>1597880</v>
      </c>
      <c r="H7" s="442">
        <v>501774</v>
      </c>
      <c r="I7" s="442">
        <v>5313285</v>
      </c>
      <c r="J7" s="442">
        <v>2208928</v>
      </c>
      <c r="K7" s="443">
        <f t="shared" ref="K7:K17" si="0">SUM(C7:J7)</f>
        <v>21472827</v>
      </c>
      <c r="L7" s="434"/>
      <c r="N7" s="433"/>
      <c r="O7" s="433"/>
      <c r="P7" s="433"/>
      <c r="R7" s="433"/>
      <c r="S7" s="433"/>
      <c r="X7" s="433"/>
      <c r="Y7" s="433"/>
      <c r="Z7" s="433"/>
      <c r="AB7" s="433"/>
      <c r="AC7" s="433"/>
    </row>
    <row r="8" spans="1:32" s="430" customFormat="1" ht="12.75">
      <c r="B8" s="437">
        <v>40148</v>
      </c>
      <c r="C8" s="441">
        <v>357859</v>
      </c>
      <c r="D8" s="442">
        <v>7101504</v>
      </c>
      <c r="E8" s="442">
        <v>227783</v>
      </c>
      <c r="F8" s="442">
        <v>4367454</v>
      </c>
      <c r="G8" s="442">
        <v>1618578</v>
      </c>
      <c r="H8" s="442">
        <v>506461</v>
      </c>
      <c r="I8" s="442">
        <v>5419249</v>
      </c>
      <c r="J8" s="442">
        <v>2263747</v>
      </c>
      <c r="K8" s="443">
        <f t="shared" si="0"/>
        <v>21862635</v>
      </c>
      <c r="L8" s="434"/>
      <c r="N8" s="433"/>
      <c r="O8" s="433"/>
      <c r="P8" s="433"/>
      <c r="R8" s="433"/>
      <c r="S8" s="433"/>
      <c r="X8" s="433"/>
      <c r="Y8" s="433"/>
      <c r="Z8" s="433"/>
      <c r="AB8" s="433"/>
      <c r="AC8" s="433"/>
    </row>
    <row r="9" spans="1:32" s="430" customFormat="1" ht="12.75">
      <c r="B9" s="437">
        <v>40513</v>
      </c>
      <c r="C9" s="441">
        <v>364833</v>
      </c>
      <c r="D9" s="442">
        <v>7179891</v>
      </c>
      <c r="E9" s="442">
        <v>230299</v>
      </c>
      <c r="F9" s="442">
        <v>4436882</v>
      </c>
      <c r="G9" s="442">
        <v>1632482</v>
      </c>
      <c r="H9" s="442">
        <v>510219</v>
      </c>
      <c r="I9" s="442">
        <v>5495711</v>
      </c>
      <c r="J9" s="442">
        <v>2319063</v>
      </c>
      <c r="K9" s="443">
        <f t="shared" si="0"/>
        <v>22169380</v>
      </c>
      <c r="L9" s="434"/>
      <c r="N9" s="433"/>
      <c r="O9" s="433"/>
      <c r="P9" s="433"/>
      <c r="R9" s="433"/>
      <c r="S9" s="433"/>
      <c r="X9" s="433"/>
      <c r="Y9" s="433"/>
      <c r="Z9" s="433"/>
      <c r="AB9" s="433"/>
      <c r="AC9" s="433"/>
    </row>
    <row r="10" spans="1:32" s="430" customFormat="1" ht="12.75">
      <c r="B10" s="437">
        <v>40878</v>
      </c>
      <c r="C10" s="441">
        <v>372070</v>
      </c>
      <c r="D10" s="442">
        <v>7258722</v>
      </c>
      <c r="E10" s="442">
        <v>232952</v>
      </c>
      <c r="F10" s="442">
        <v>4518649</v>
      </c>
      <c r="G10" s="442">
        <v>1647183</v>
      </c>
      <c r="H10" s="442">
        <v>511739</v>
      </c>
      <c r="I10" s="442">
        <v>5591818</v>
      </c>
      <c r="J10" s="442">
        <v>2385947</v>
      </c>
      <c r="K10" s="443">
        <f t="shared" si="0"/>
        <v>22519080</v>
      </c>
      <c r="L10" s="434"/>
      <c r="N10" s="433"/>
      <c r="O10" s="433"/>
      <c r="P10" s="433"/>
      <c r="R10" s="433"/>
      <c r="S10" s="433"/>
      <c r="X10" s="433"/>
      <c r="Y10" s="433"/>
      <c r="Z10" s="433"/>
      <c r="AB10" s="433"/>
      <c r="AC10" s="433"/>
    </row>
    <row r="11" spans="1:32" s="430" customFormat="1" ht="12.75">
      <c r="B11" s="437">
        <v>41244</v>
      </c>
      <c r="C11" s="441">
        <v>379812</v>
      </c>
      <c r="D11" s="442">
        <v>7353189</v>
      </c>
      <c r="E11" s="442">
        <v>238728</v>
      </c>
      <c r="F11" s="442">
        <v>4611304</v>
      </c>
      <c r="G11" s="442">
        <v>1663082</v>
      </c>
      <c r="H11" s="442">
        <v>511813</v>
      </c>
      <c r="I11" s="442">
        <v>5709586</v>
      </c>
      <c r="J11" s="442">
        <v>2457489</v>
      </c>
      <c r="K11" s="443">
        <f t="shared" si="0"/>
        <v>22925003</v>
      </c>
      <c r="L11" s="434"/>
      <c r="N11" s="433"/>
      <c r="O11" s="433"/>
      <c r="P11" s="433"/>
      <c r="R11" s="433"/>
      <c r="S11" s="433"/>
      <c r="X11" s="433"/>
      <c r="Y11" s="433"/>
      <c r="Z11" s="433"/>
      <c r="AB11" s="433"/>
      <c r="AC11" s="433"/>
    </row>
    <row r="12" spans="1:32" s="430" customFormat="1" ht="12.75">
      <c r="B12" s="437">
        <v>41609</v>
      </c>
      <c r="C12" s="441">
        <v>386318</v>
      </c>
      <c r="D12" s="442">
        <v>7454938</v>
      </c>
      <c r="E12" s="442">
        <v>242304</v>
      </c>
      <c r="F12" s="442">
        <v>4685439</v>
      </c>
      <c r="G12" s="442">
        <v>1678052</v>
      </c>
      <c r="H12" s="442">
        <v>513015</v>
      </c>
      <c r="I12" s="442">
        <v>5832585</v>
      </c>
      <c r="J12" s="442">
        <v>2502188</v>
      </c>
      <c r="K12" s="443">
        <f t="shared" si="0"/>
        <v>23294839</v>
      </c>
      <c r="L12" s="434"/>
      <c r="N12" s="433"/>
      <c r="O12" s="433"/>
      <c r="P12" s="433"/>
      <c r="R12" s="433"/>
      <c r="S12" s="433"/>
      <c r="X12" s="433"/>
      <c r="Y12" s="433"/>
      <c r="Z12" s="433"/>
      <c r="AB12" s="433"/>
      <c r="AC12" s="433"/>
    </row>
    <row r="13" spans="1:32" s="430" customFormat="1" ht="12.75">
      <c r="B13" s="437">
        <v>41974</v>
      </c>
      <c r="C13" s="441">
        <v>391981</v>
      </c>
      <c r="D13" s="442">
        <v>7562171</v>
      </c>
      <c r="E13" s="442">
        <v>242753</v>
      </c>
      <c r="F13" s="442">
        <v>4747263</v>
      </c>
      <c r="G13" s="442">
        <v>1693107</v>
      </c>
      <c r="H13" s="442">
        <v>514040</v>
      </c>
      <c r="I13" s="442">
        <v>5957512</v>
      </c>
      <c r="J13" s="442">
        <v>2528619</v>
      </c>
      <c r="K13" s="443">
        <f t="shared" si="0"/>
        <v>23637446</v>
      </c>
      <c r="L13" s="434"/>
      <c r="N13" s="433"/>
      <c r="O13" s="433"/>
      <c r="P13" s="433"/>
      <c r="R13" s="433"/>
      <c r="S13" s="433"/>
      <c r="X13" s="433"/>
      <c r="Y13" s="433"/>
      <c r="Z13" s="433"/>
      <c r="AB13" s="433"/>
      <c r="AC13" s="433"/>
    </row>
    <row r="14" spans="1:32" customFormat="1">
      <c r="A14" s="430"/>
      <c r="B14" s="437">
        <v>42339</v>
      </c>
      <c r="C14" s="441">
        <v>398874</v>
      </c>
      <c r="D14" s="442">
        <v>7671401</v>
      </c>
      <c r="E14" s="442">
        <v>244090</v>
      </c>
      <c r="F14" s="442">
        <v>4804933</v>
      </c>
      <c r="G14" s="442">
        <v>1705937</v>
      </c>
      <c r="H14" s="442">
        <v>515694</v>
      </c>
      <c r="I14" s="442">
        <v>6093049</v>
      </c>
      <c r="J14" s="442">
        <v>2547745</v>
      </c>
      <c r="K14" s="443">
        <f t="shared" si="0"/>
        <v>23981723</v>
      </c>
      <c r="L14" s="434"/>
      <c r="M14" s="430"/>
      <c r="N14" s="433"/>
      <c r="O14" s="433"/>
      <c r="P14" s="433"/>
      <c r="Q14" s="430"/>
      <c r="R14" s="433"/>
      <c r="S14" s="433"/>
      <c r="T14" s="430"/>
      <c r="U14" s="430"/>
      <c r="V14" s="430"/>
      <c r="W14" s="430"/>
      <c r="X14" s="433"/>
      <c r="Y14" s="433"/>
      <c r="Z14" s="433"/>
      <c r="AA14" s="430"/>
      <c r="AB14" s="433"/>
      <c r="AC14" s="433"/>
      <c r="AD14" s="430"/>
      <c r="AE14" s="430"/>
      <c r="AF14" s="430"/>
    </row>
    <row r="15" spans="1:32" customFormat="1" ht="12.75" customHeight="1">
      <c r="A15" s="430"/>
      <c r="B15" s="437">
        <v>42705</v>
      </c>
      <c r="C15" s="441">
        <v>407489</v>
      </c>
      <c r="D15" s="442">
        <v>7801785</v>
      </c>
      <c r="E15" s="442">
        <v>246183</v>
      </c>
      <c r="F15" s="442">
        <v>4883821</v>
      </c>
      <c r="G15" s="442">
        <v>1717400</v>
      </c>
      <c r="H15" s="442">
        <v>519810</v>
      </c>
      <c r="I15" s="442">
        <v>6244863</v>
      </c>
      <c r="J15" s="442">
        <v>2563708</v>
      </c>
      <c r="K15" s="443">
        <f t="shared" si="0"/>
        <v>24385059</v>
      </c>
      <c r="L15" s="434"/>
      <c r="M15" s="430"/>
      <c r="N15" s="433"/>
      <c r="O15" s="433"/>
      <c r="P15" s="433"/>
      <c r="Q15" s="430"/>
      <c r="R15" s="433"/>
      <c r="S15" s="433"/>
      <c r="T15" s="430"/>
      <c r="U15" s="430"/>
      <c r="V15" s="430"/>
      <c r="W15" s="430"/>
      <c r="X15" s="433"/>
      <c r="Y15" s="433"/>
      <c r="Z15" s="433"/>
      <c r="AA15" s="430"/>
      <c r="AB15" s="433"/>
      <c r="AC15" s="433"/>
      <c r="AD15" s="430"/>
      <c r="AE15" s="430"/>
      <c r="AF15" s="430"/>
    </row>
    <row r="16" spans="1:32" customFormat="1" ht="12.75" customHeight="1">
      <c r="A16" s="430"/>
      <c r="B16" s="437">
        <v>43070</v>
      </c>
      <c r="C16" s="441">
        <v>416237</v>
      </c>
      <c r="D16" s="442">
        <v>7922257</v>
      </c>
      <c r="E16" s="442">
        <v>246864</v>
      </c>
      <c r="F16" s="442">
        <v>4962922</v>
      </c>
      <c r="G16" s="442">
        <v>1728159</v>
      </c>
      <c r="H16" s="442">
        <v>525030</v>
      </c>
      <c r="I16" s="442">
        <v>6386983</v>
      </c>
      <c r="J16" s="442">
        <v>2582377</v>
      </c>
      <c r="K16" s="443">
        <f t="shared" si="0"/>
        <v>24770829</v>
      </c>
      <c r="L16" s="434"/>
      <c r="M16" s="430"/>
      <c r="N16" s="433"/>
      <c r="O16" s="433"/>
      <c r="P16" s="433"/>
      <c r="Q16" s="430"/>
      <c r="R16" s="433"/>
      <c r="S16" s="433"/>
      <c r="T16" s="430"/>
      <c r="U16" s="430"/>
      <c r="V16" s="430"/>
      <c r="W16" s="430"/>
      <c r="X16" s="433"/>
      <c r="Y16" s="433"/>
      <c r="Z16" s="433"/>
      <c r="AA16" s="430"/>
      <c r="AB16" s="433"/>
      <c r="AC16" s="433"/>
      <c r="AD16" s="430"/>
      <c r="AE16" s="430"/>
      <c r="AF16" s="430"/>
    </row>
    <row r="17" spans="1:32" customFormat="1" ht="12.75" customHeight="1">
      <c r="A17" s="430"/>
      <c r="B17" s="437">
        <v>43435</v>
      </c>
      <c r="C17" s="444">
        <v>423811</v>
      </c>
      <c r="D17" s="445">
        <v>8046070</v>
      </c>
      <c r="E17" s="445">
        <v>245854</v>
      </c>
      <c r="F17" s="445">
        <v>5052827</v>
      </c>
      <c r="G17" s="445">
        <v>1742744</v>
      </c>
      <c r="H17" s="445">
        <v>531529</v>
      </c>
      <c r="I17" s="445">
        <v>6526413</v>
      </c>
      <c r="J17" s="445">
        <v>2606338</v>
      </c>
      <c r="K17" s="446">
        <f t="shared" si="0"/>
        <v>25175586</v>
      </c>
      <c r="L17" s="434"/>
      <c r="M17" s="430"/>
      <c r="N17" s="433"/>
      <c r="O17" s="433"/>
      <c r="P17" s="433"/>
      <c r="Q17" s="430"/>
      <c r="R17" s="433"/>
      <c r="S17" s="433"/>
      <c r="T17" s="430"/>
      <c r="U17" s="430"/>
      <c r="V17" s="430"/>
      <c r="W17" s="430"/>
      <c r="X17" s="433"/>
      <c r="Y17" s="433"/>
      <c r="Z17" s="433"/>
      <c r="AA17" s="430"/>
      <c r="AB17" s="433"/>
      <c r="AC17" s="433"/>
      <c r="AD17" s="430"/>
      <c r="AE17" s="430"/>
      <c r="AF17" s="430"/>
    </row>
    <row r="18" spans="1:32" customFormat="1" ht="12.75" customHeight="1">
      <c r="A18" s="430"/>
      <c r="B18" s="430"/>
      <c r="C18" s="433"/>
      <c r="D18" s="433"/>
      <c r="E18" s="433"/>
      <c r="F18" s="430"/>
      <c r="G18" s="433"/>
      <c r="H18" s="433"/>
      <c r="I18" s="430"/>
      <c r="J18" s="430"/>
      <c r="K18" s="430"/>
      <c r="L18" s="430"/>
      <c r="M18" s="430"/>
      <c r="N18" s="433"/>
      <c r="O18" s="433"/>
      <c r="P18" s="433"/>
      <c r="Q18" s="430"/>
      <c r="R18" s="433"/>
      <c r="S18" s="433"/>
      <c r="T18" s="430"/>
      <c r="U18" s="430"/>
      <c r="V18" s="430"/>
      <c r="W18" s="430"/>
      <c r="X18" s="433"/>
      <c r="Y18" s="433"/>
      <c r="Z18" s="433"/>
      <c r="AA18" s="430"/>
      <c r="AB18" s="433"/>
      <c r="AC18" s="433"/>
      <c r="AD18" s="430"/>
      <c r="AE18" s="430"/>
      <c r="AF18" s="430"/>
    </row>
    <row r="19" spans="1:32" customFormat="1" ht="15.75">
      <c r="A19" s="431" t="s">
        <v>609</v>
      </c>
      <c r="B19" s="432"/>
      <c r="C19" s="432"/>
      <c r="D19" s="432"/>
      <c r="E19" s="432"/>
      <c r="F19" s="432"/>
      <c r="G19" s="432"/>
      <c r="H19" s="432"/>
      <c r="I19" s="432"/>
      <c r="J19" s="432"/>
      <c r="K19" s="432"/>
      <c r="L19" s="432"/>
      <c r="M19" s="432"/>
      <c r="N19" s="432"/>
      <c r="O19" s="432"/>
      <c r="P19" s="432"/>
      <c r="Q19" s="432"/>
      <c r="R19" s="432"/>
      <c r="S19" s="432"/>
      <c r="T19" s="432"/>
      <c r="U19" s="432"/>
      <c r="V19" s="432"/>
      <c r="W19" s="432"/>
      <c r="X19" s="432"/>
      <c r="Y19" s="432"/>
      <c r="Z19" s="432"/>
      <c r="AA19" s="432"/>
      <c r="AB19" s="432"/>
      <c r="AC19" s="432"/>
      <c r="AD19" s="432"/>
      <c r="AE19" s="432"/>
      <c r="AF19" s="432"/>
    </row>
    <row r="20" spans="1:32" s="447" customFormat="1" ht="23.25">
      <c r="A20" s="448"/>
      <c r="B20" s="448"/>
      <c r="C20" s="450" t="s">
        <v>610</v>
      </c>
      <c r="D20" s="449"/>
      <c r="E20" s="448"/>
      <c r="F20" s="448"/>
      <c r="G20" s="448"/>
      <c r="H20" s="448"/>
      <c r="I20" s="448"/>
      <c r="J20" s="448"/>
      <c r="K20" s="448"/>
      <c r="L20" s="448"/>
      <c r="M20" s="448"/>
      <c r="N20" s="450" t="s">
        <v>611</v>
      </c>
      <c r="O20" s="449"/>
      <c r="P20" s="448"/>
      <c r="Q20" s="448"/>
      <c r="R20" s="448"/>
      <c r="S20" s="448"/>
      <c r="T20" s="448"/>
      <c r="U20" s="448"/>
      <c r="V20" s="448"/>
      <c r="W20" s="448"/>
      <c r="X20" s="450" t="s">
        <v>612</v>
      </c>
      <c r="Y20" s="449"/>
      <c r="Z20" s="448"/>
      <c r="AA20" s="448"/>
      <c r="AB20" s="448"/>
      <c r="AC20" s="448"/>
      <c r="AD20" s="448"/>
      <c r="AE20" s="448"/>
      <c r="AF20" s="448"/>
    </row>
    <row r="21" spans="1:32" customFormat="1">
      <c r="A21" s="451"/>
      <c r="B21" s="453" t="s">
        <v>613</v>
      </c>
      <c r="C21" s="454" t="s">
        <v>614</v>
      </c>
      <c r="D21" s="455"/>
      <c r="E21" s="455"/>
      <c r="F21" s="455"/>
      <c r="G21" s="455"/>
      <c r="H21" s="455"/>
      <c r="I21" s="455"/>
      <c r="J21" s="455"/>
      <c r="K21" s="455"/>
      <c r="L21" s="455"/>
      <c r="M21" s="451"/>
      <c r="N21" s="455" t="s">
        <v>615</v>
      </c>
      <c r="O21" s="455" t="s">
        <v>751</v>
      </c>
      <c r="P21" s="455"/>
      <c r="Q21" s="455"/>
      <c r="R21" s="455"/>
      <c r="S21" s="455"/>
      <c r="T21" s="455"/>
      <c r="U21" s="455"/>
      <c r="V21" s="455"/>
      <c r="W21" s="451"/>
      <c r="X21" s="455" t="s">
        <v>615</v>
      </c>
      <c r="Y21" s="455" t="s">
        <v>752</v>
      </c>
      <c r="Z21" s="455"/>
      <c r="AA21" s="455"/>
      <c r="AB21" s="455"/>
      <c r="AC21" s="455"/>
      <c r="AD21" s="455"/>
      <c r="AE21" s="455"/>
      <c r="AF21" s="455"/>
    </row>
    <row r="22" spans="1:32" customFormat="1">
      <c r="A22" s="451"/>
      <c r="B22" s="453"/>
      <c r="C22" s="454" t="s">
        <v>616</v>
      </c>
      <c r="D22" s="455"/>
      <c r="E22" s="455"/>
      <c r="F22" s="455"/>
      <c r="G22" s="455"/>
      <c r="H22" s="455"/>
      <c r="I22" s="455"/>
      <c r="J22" s="455"/>
      <c r="K22" s="455"/>
      <c r="L22" s="455"/>
      <c r="M22" s="451"/>
      <c r="N22" s="454"/>
      <c r="O22" s="455"/>
      <c r="P22" s="455"/>
      <c r="Q22" s="455"/>
      <c r="R22" s="455"/>
      <c r="S22" s="455"/>
      <c r="T22" s="455"/>
      <c r="U22" s="455"/>
      <c r="V22" s="455"/>
      <c r="W22" s="451"/>
      <c r="X22" s="454"/>
      <c r="Y22" s="455"/>
      <c r="Z22" s="455"/>
      <c r="AA22" s="455"/>
      <c r="AB22" s="455"/>
      <c r="AC22" s="455"/>
      <c r="AD22" s="455"/>
      <c r="AE22" s="455"/>
      <c r="AF22" s="455"/>
    </row>
    <row r="23" spans="1:32" customFormat="1">
      <c r="A23" s="451"/>
      <c r="B23" s="453"/>
      <c r="C23" s="454" t="s">
        <v>617</v>
      </c>
      <c r="D23" s="455"/>
      <c r="E23" s="455"/>
      <c r="F23" s="455"/>
      <c r="G23" s="455"/>
      <c r="H23" s="455"/>
      <c r="I23" s="455"/>
      <c r="J23" s="455"/>
      <c r="K23" s="455"/>
      <c r="L23" s="455"/>
      <c r="M23" s="451"/>
      <c r="N23" s="454"/>
      <c r="O23" s="455"/>
      <c r="P23" s="455"/>
      <c r="Q23" s="455"/>
      <c r="R23" s="455"/>
      <c r="S23" s="455"/>
      <c r="T23" s="455"/>
      <c r="U23" s="455"/>
      <c r="V23" s="455"/>
      <c r="W23" s="451"/>
      <c r="X23" s="454"/>
      <c r="Y23" s="455"/>
      <c r="Z23" s="455"/>
      <c r="AA23" s="455"/>
      <c r="AB23" s="455"/>
      <c r="AC23" s="455"/>
      <c r="AD23" s="455"/>
      <c r="AE23" s="455"/>
      <c r="AF23" s="455"/>
    </row>
    <row r="24" spans="1:32" customFormat="1">
      <c r="A24" s="451"/>
      <c r="B24" s="453"/>
      <c r="C24" s="454" t="s">
        <v>618</v>
      </c>
      <c r="D24" s="455"/>
      <c r="E24" s="455"/>
      <c r="F24" s="455"/>
      <c r="G24" s="455"/>
      <c r="H24" s="455"/>
      <c r="I24" s="455"/>
      <c r="J24" s="455"/>
      <c r="K24" s="455"/>
      <c r="L24" s="455"/>
      <c r="M24" s="451"/>
      <c r="N24" s="454"/>
      <c r="O24" s="455"/>
      <c r="P24" s="455"/>
      <c r="Q24" s="455"/>
      <c r="R24" s="455"/>
      <c r="S24" s="455"/>
      <c r="T24" s="455"/>
      <c r="U24" s="455"/>
      <c r="V24" s="455"/>
      <c r="W24" s="451"/>
      <c r="X24" s="454"/>
      <c r="Y24" s="455"/>
      <c r="Z24" s="455"/>
      <c r="AA24" s="455"/>
      <c r="AB24" s="455"/>
      <c r="AC24" s="455"/>
      <c r="AD24" s="455"/>
      <c r="AE24" s="455"/>
      <c r="AF24" s="455"/>
    </row>
    <row r="25" spans="1:32" customFormat="1">
      <c r="A25" s="451"/>
      <c r="B25" s="453"/>
      <c r="C25" s="454" t="s">
        <v>619</v>
      </c>
      <c r="D25" s="455"/>
      <c r="E25" s="455"/>
      <c r="F25" s="455"/>
      <c r="G25" s="455"/>
      <c r="H25" s="455"/>
      <c r="I25" s="455"/>
      <c r="J25" s="455"/>
      <c r="K25" s="455"/>
      <c r="L25" s="456"/>
      <c r="M25" s="451"/>
      <c r="N25" s="454"/>
      <c r="O25" s="455"/>
      <c r="P25" s="455"/>
      <c r="Q25" s="455"/>
      <c r="R25" s="455"/>
      <c r="S25" s="455"/>
      <c r="T25" s="455"/>
      <c r="U25" s="455"/>
      <c r="V25" s="455"/>
      <c r="W25" s="451"/>
      <c r="X25" s="454"/>
      <c r="Y25" s="455"/>
      <c r="Z25" s="455"/>
      <c r="AA25" s="455"/>
      <c r="AB25" s="455"/>
      <c r="AC25" s="455"/>
      <c r="AD25" s="455"/>
      <c r="AE25" s="455"/>
      <c r="AF25" s="455"/>
    </row>
    <row r="26" spans="1:32" customFormat="1">
      <c r="A26" s="451"/>
      <c r="B26" s="453"/>
      <c r="C26" s="454" t="s">
        <v>620</v>
      </c>
      <c r="D26" s="455"/>
      <c r="E26" s="455"/>
      <c r="F26" s="455"/>
      <c r="G26" s="455"/>
      <c r="H26" s="455"/>
      <c r="I26" s="455"/>
      <c r="J26" s="455"/>
      <c r="K26" s="455"/>
      <c r="L26" s="456"/>
      <c r="M26" s="451"/>
      <c r="N26" s="454"/>
      <c r="O26" s="455"/>
      <c r="P26" s="455"/>
      <c r="Q26" s="455"/>
      <c r="R26" s="455"/>
      <c r="S26" s="455"/>
      <c r="T26" s="455"/>
      <c r="U26" s="455"/>
      <c r="V26" s="455"/>
      <c r="W26" s="451"/>
      <c r="X26" s="454"/>
      <c r="Y26" s="455"/>
      <c r="Z26" s="455"/>
      <c r="AA26" s="455"/>
      <c r="AB26" s="455"/>
      <c r="AC26" s="455"/>
      <c r="AD26" s="455"/>
      <c r="AE26" s="455"/>
      <c r="AF26" s="455"/>
    </row>
    <row r="27" spans="1:32" customFormat="1">
      <c r="A27" s="451"/>
      <c r="B27" s="457" t="s">
        <v>771</v>
      </c>
      <c r="C27" s="458">
        <v>371000</v>
      </c>
      <c r="D27" s="455"/>
      <c r="E27" s="455"/>
      <c r="F27" s="455"/>
      <c r="G27" s="455"/>
      <c r="H27" s="455"/>
      <c r="I27" s="455"/>
      <c r="J27" s="455"/>
      <c r="K27" s="455"/>
      <c r="L27" s="455"/>
      <c r="M27" s="451"/>
      <c r="N27" s="458">
        <v>310000</v>
      </c>
      <c r="O27" s="455"/>
      <c r="P27" s="455"/>
      <c r="Q27" s="455"/>
      <c r="R27" s="455"/>
      <c r="S27" s="455"/>
      <c r="T27" s="455"/>
      <c r="U27" s="455"/>
      <c r="V27" s="455"/>
      <c r="W27" s="451"/>
      <c r="X27" s="458">
        <v>330000</v>
      </c>
      <c r="Y27" s="455"/>
      <c r="Z27" s="455"/>
      <c r="AA27" s="455"/>
      <c r="AB27" s="455"/>
      <c r="AC27" s="455"/>
      <c r="AD27" s="455"/>
      <c r="AE27" s="455"/>
      <c r="AF27" s="455"/>
    </row>
    <row r="28" spans="1:32" customFormat="1">
      <c r="A28" s="451"/>
      <c r="B28" s="457" t="s">
        <v>621</v>
      </c>
      <c r="C28" s="459">
        <v>0.21</v>
      </c>
      <c r="D28" s="455"/>
      <c r="E28" s="455"/>
      <c r="F28" s="455"/>
      <c r="G28" s="455"/>
      <c r="H28" s="455"/>
      <c r="I28" s="455"/>
      <c r="J28" s="455"/>
      <c r="K28" s="455"/>
      <c r="L28" s="455"/>
      <c r="M28" s="451"/>
      <c r="N28" s="460">
        <f>C28</f>
        <v>0.21</v>
      </c>
      <c r="O28" s="455"/>
      <c r="P28" s="455"/>
      <c r="Q28" s="455"/>
      <c r="R28" s="455"/>
      <c r="S28" s="455"/>
      <c r="T28" s="455"/>
      <c r="U28" s="455"/>
      <c r="V28" s="455"/>
      <c r="W28" s="451"/>
      <c r="X28" s="460">
        <f>C28</f>
        <v>0.21</v>
      </c>
      <c r="Y28" s="455"/>
      <c r="Z28" s="455"/>
      <c r="AA28" s="455"/>
      <c r="AB28" s="455"/>
      <c r="AC28" s="455"/>
      <c r="AD28" s="455"/>
      <c r="AE28" s="455"/>
      <c r="AF28" s="455"/>
    </row>
    <row r="29" spans="1:32" customFormat="1">
      <c r="A29" s="451"/>
      <c r="B29" s="453"/>
      <c r="C29" s="461" t="s">
        <v>622</v>
      </c>
      <c r="D29" s="461" t="s">
        <v>623</v>
      </c>
      <c r="E29" s="461" t="s">
        <v>120</v>
      </c>
      <c r="F29" s="461" t="s">
        <v>108</v>
      </c>
      <c r="G29" s="461" t="s">
        <v>122</v>
      </c>
      <c r="H29" s="461" t="s">
        <v>109</v>
      </c>
      <c r="I29" s="455"/>
      <c r="J29" s="455"/>
      <c r="K29" s="462" t="s">
        <v>608</v>
      </c>
      <c r="L29" s="455"/>
      <c r="M29" s="451"/>
      <c r="N29" s="461" t="s">
        <v>622</v>
      </c>
      <c r="O29" s="461" t="s">
        <v>623</v>
      </c>
      <c r="P29" s="461" t="s">
        <v>120</v>
      </c>
      <c r="Q29" s="461" t="s">
        <v>108</v>
      </c>
      <c r="R29" s="461" t="s">
        <v>122</v>
      </c>
      <c r="S29" s="461" t="s">
        <v>109</v>
      </c>
      <c r="T29" s="455"/>
      <c r="U29" s="455"/>
      <c r="V29" s="462" t="s">
        <v>608</v>
      </c>
      <c r="W29" s="451"/>
      <c r="X29" s="461" t="s">
        <v>622</v>
      </c>
      <c r="Y29" s="461" t="s">
        <v>623</v>
      </c>
      <c r="Z29" s="461" t="s">
        <v>120</v>
      </c>
      <c r="AA29" s="461" t="s">
        <v>108</v>
      </c>
      <c r="AB29" s="461" t="s">
        <v>122</v>
      </c>
      <c r="AC29" s="461" t="s">
        <v>109</v>
      </c>
      <c r="AD29" s="455"/>
      <c r="AE29" s="455"/>
      <c r="AF29" s="462" t="s">
        <v>608</v>
      </c>
    </row>
    <row r="30" spans="1:32" customFormat="1">
      <c r="A30" s="451"/>
      <c r="B30" s="457" t="s">
        <v>624</v>
      </c>
      <c r="C30" s="463">
        <v>0.26</v>
      </c>
      <c r="D30" s="464">
        <v>0.11</v>
      </c>
      <c r="E30" s="464">
        <v>0.19</v>
      </c>
      <c r="F30" s="464">
        <v>0.13</v>
      </c>
      <c r="G30" s="464">
        <v>0.02</v>
      </c>
      <c r="H30" s="465">
        <v>0.28999999999999998</v>
      </c>
      <c r="I30" s="466" t="b">
        <f>SUM(C30:H30)=1</f>
        <v>1</v>
      </c>
      <c r="J30" s="455"/>
      <c r="K30" s="467"/>
      <c r="L30" s="455"/>
      <c r="M30" s="451"/>
      <c r="N30" s="463">
        <v>0.28000000000000003</v>
      </c>
      <c r="O30" s="464">
        <v>0.09</v>
      </c>
      <c r="P30" s="464">
        <v>0.2</v>
      </c>
      <c r="Q30" s="464">
        <v>0.09</v>
      </c>
      <c r="R30" s="464">
        <v>0.05</v>
      </c>
      <c r="S30" s="465">
        <v>0.28999999999999998</v>
      </c>
      <c r="T30" s="466" t="b">
        <f>SUM(N30:S30)=1</f>
        <v>1</v>
      </c>
      <c r="U30" s="455"/>
      <c r="V30" s="467"/>
      <c r="W30" s="451"/>
      <c r="X30" s="463">
        <f>29%/0.99</f>
        <v>0.29292929292929293</v>
      </c>
      <c r="Y30" s="464">
        <f>9%/0.99</f>
        <v>9.0909090909090912E-2</v>
      </c>
      <c r="Z30" s="464">
        <f>21%/0.99</f>
        <v>0.21212121212121213</v>
      </c>
      <c r="AA30" s="464">
        <f>9%/0.99</f>
        <v>9.0909090909090912E-2</v>
      </c>
      <c r="AB30" s="464">
        <f>2%/0.99</f>
        <v>2.0202020202020204E-2</v>
      </c>
      <c r="AC30" s="465">
        <f>29%/0.99</f>
        <v>0.29292929292929293</v>
      </c>
      <c r="AD30" s="468" t="b">
        <f>SUM(X30:AC30)=1</f>
        <v>1</v>
      </c>
      <c r="AE30" s="455"/>
      <c r="AF30" s="467"/>
    </row>
    <row r="31" spans="1:32" customFormat="1">
      <c r="A31" s="451"/>
      <c r="B31" s="469" t="s">
        <v>625</v>
      </c>
      <c r="C31" s="470">
        <f>C30*$C27/$C28</f>
        <v>459333.33333333337</v>
      </c>
      <c r="D31" s="471">
        <f>D30*$C27/$C28</f>
        <v>194333.33333333334</v>
      </c>
      <c r="E31" s="471">
        <f t="shared" ref="E31:H31" si="1">E30*$C27/$C28</f>
        <v>335666.66666666669</v>
      </c>
      <c r="F31" s="471">
        <f t="shared" si="1"/>
        <v>229666.66666666669</v>
      </c>
      <c r="G31" s="471">
        <f t="shared" si="1"/>
        <v>35333.333333333336</v>
      </c>
      <c r="H31" s="472">
        <f t="shared" si="1"/>
        <v>512333.33333333326</v>
      </c>
      <c r="I31" s="455"/>
      <c r="J31" s="455"/>
      <c r="K31" s="473">
        <f>SUM(C31:J31)</f>
        <v>1766666.6666666667</v>
      </c>
      <c r="L31" s="474"/>
      <c r="M31" s="451"/>
      <c r="N31" s="470">
        <f>N30*$N27/$N28</f>
        <v>413333.33333333343</v>
      </c>
      <c r="O31" s="471">
        <f>O30*$N27/$N28</f>
        <v>132857.14285714287</v>
      </c>
      <c r="P31" s="471">
        <f>P30*$N27/$N28</f>
        <v>295238.09523809527</v>
      </c>
      <c r="Q31" s="471">
        <f t="shared" ref="Q31:S31" si="2">Q30*$N27/$N28</f>
        <v>132857.14285714287</v>
      </c>
      <c r="R31" s="471">
        <f t="shared" si="2"/>
        <v>73809.523809523816</v>
      </c>
      <c r="S31" s="472">
        <f t="shared" si="2"/>
        <v>428095.23809523811</v>
      </c>
      <c r="T31" s="455"/>
      <c r="U31" s="455"/>
      <c r="V31" s="473">
        <f>SUM(N31:U31)</f>
        <v>1476190.4761904762</v>
      </c>
      <c r="W31" s="451"/>
      <c r="X31" s="470">
        <f>X30*$X27/$X28</f>
        <v>460317.46031746035</v>
      </c>
      <c r="Y31" s="471">
        <f t="shared" ref="Y31:AC31" si="3">Y30*$X27/$X28</f>
        <v>142857.14285714287</v>
      </c>
      <c r="Z31" s="471">
        <f t="shared" si="3"/>
        <v>333333.33333333337</v>
      </c>
      <c r="AA31" s="471">
        <f t="shared" si="3"/>
        <v>142857.14285714287</v>
      </c>
      <c r="AB31" s="471">
        <f t="shared" si="3"/>
        <v>31746.031746031749</v>
      </c>
      <c r="AC31" s="472">
        <f t="shared" si="3"/>
        <v>460317.46031746035</v>
      </c>
      <c r="AD31" s="455"/>
      <c r="AE31" s="455"/>
      <c r="AF31" s="473">
        <f>SUM(X31:AE31)</f>
        <v>1571428.5714285716</v>
      </c>
    </row>
    <row r="32" spans="1:32" customFormat="1">
      <c r="A32" s="451"/>
      <c r="B32" s="469"/>
      <c r="C32" s="475" t="s">
        <v>72</v>
      </c>
      <c r="D32" s="475" t="s">
        <v>107</v>
      </c>
      <c r="E32" s="475" t="s">
        <v>73</v>
      </c>
      <c r="F32" s="475" t="s">
        <v>120</v>
      </c>
      <c r="G32" s="475" t="s">
        <v>108</v>
      </c>
      <c r="H32" s="475" t="s">
        <v>122</v>
      </c>
      <c r="I32" s="475" t="s">
        <v>109</v>
      </c>
      <c r="J32" s="475" t="s">
        <v>110</v>
      </c>
      <c r="K32" s="476"/>
      <c r="L32" s="476"/>
      <c r="M32" s="477"/>
      <c r="N32" s="475" t="s">
        <v>72</v>
      </c>
      <c r="O32" s="475" t="s">
        <v>107</v>
      </c>
      <c r="P32" s="475" t="s">
        <v>73</v>
      </c>
      <c r="Q32" s="475" t="s">
        <v>120</v>
      </c>
      <c r="R32" s="475" t="s">
        <v>108</v>
      </c>
      <c r="S32" s="475" t="s">
        <v>122</v>
      </c>
      <c r="T32" s="475" t="s">
        <v>109</v>
      </c>
      <c r="U32" s="475" t="s">
        <v>110</v>
      </c>
      <c r="V32" s="476"/>
      <c r="W32" s="477"/>
      <c r="X32" s="475" t="s">
        <v>72</v>
      </c>
      <c r="Y32" s="475" t="s">
        <v>107</v>
      </c>
      <c r="Z32" s="475" t="s">
        <v>73</v>
      </c>
      <c r="AA32" s="475" t="s">
        <v>120</v>
      </c>
      <c r="AB32" s="475" t="s">
        <v>108</v>
      </c>
      <c r="AC32" s="475" t="s">
        <v>122</v>
      </c>
      <c r="AD32" s="475" t="s">
        <v>109</v>
      </c>
      <c r="AE32" s="475" t="s">
        <v>110</v>
      </c>
      <c r="AF32" s="476"/>
    </row>
    <row r="33" spans="1:32" customFormat="1">
      <c r="A33" s="451"/>
      <c r="B33" s="469"/>
      <c r="C33" s="478">
        <v>0</v>
      </c>
      <c r="D33" s="479">
        <f>C31*D17/SUM(C17:D17)</f>
        <v>436349.47803084052</v>
      </c>
      <c r="E33" s="479">
        <f>D31*E17/SUM(E17,J17)</f>
        <v>16751.196039163329</v>
      </c>
      <c r="F33" s="479">
        <f>E31</f>
        <v>335666.66666666669</v>
      </c>
      <c r="G33" s="479">
        <f>F31</f>
        <v>229666.66666666669</v>
      </c>
      <c r="H33" s="479">
        <f>G31</f>
        <v>35333.333333333336</v>
      </c>
      <c r="I33" s="479">
        <f>H31</f>
        <v>512333.33333333326</v>
      </c>
      <c r="J33" s="480">
        <f>D31*J17/SUM(E17,J17)</f>
        <v>177582.13729417001</v>
      </c>
      <c r="K33" s="476"/>
      <c r="L33" s="474"/>
      <c r="M33" s="451"/>
      <c r="N33" s="478">
        <v>0</v>
      </c>
      <c r="O33" s="479">
        <f>N31*D13/SUM(C13:D13)</f>
        <v>392964.24642962159</v>
      </c>
      <c r="P33" s="479">
        <f>O31*E13/SUM(E13,J13)</f>
        <v>11637.365896747173</v>
      </c>
      <c r="Q33" s="479">
        <f>P31</f>
        <v>295238.09523809527</v>
      </c>
      <c r="R33" s="479">
        <f>Q31</f>
        <v>132857.14285714287</v>
      </c>
      <c r="S33" s="479">
        <f>R31</f>
        <v>73809.523809523816</v>
      </c>
      <c r="T33" s="479">
        <f>S31</f>
        <v>428095.23809523811</v>
      </c>
      <c r="U33" s="480">
        <f>O31*J13/SUM(E13,J13)</f>
        <v>121219.7769603957</v>
      </c>
      <c r="V33" s="476"/>
      <c r="W33" s="451"/>
      <c r="X33" s="478">
        <v>0</v>
      </c>
      <c r="Y33" s="479">
        <f>X31*D11/SUM(C11:D11)</f>
        <v>437708.63157967856</v>
      </c>
      <c r="Z33" s="479">
        <f>Y31*E11/SUM(E11,J11)</f>
        <v>12648.833532315835</v>
      </c>
      <c r="AA33" s="479">
        <f>Z31</f>
        <v>333333.33333333337</v>
      </c>
      <c r="AB33" s="479">
        <f>AA31</f>
        <v>142857.14285714287</v>
      </c>
      <c r="AC33" s="479">
        <f>AB31</f>
        <v>31746.031746031749</v>
      </c>
      <c r="AD33" s="479">
        <f>AC31</f>
        <v>460317.46031746035</v>
      </c>
      <c r="AE33" s="480">
        <f>Y31*J11/SUM(E11,J11)</f>
        <v>130208.30932482703</v>
      </c>
      <c r="AF33" s="476"/>
    </row>
    <row r="34" spans="1:32" customFormat="1">
      <c r="A34" s="451"/>
      <c r="B34" s="469"/>
      <c r="C34" s="481"/>
      <c r="D34" s="481"/>
      <c r="E34" s="481"/>
      <c r="F34" s="481"/>
      <c r="G34" s="481"/>
      <c r="H34" s="481"/>
      <c r="I34" s="455"/>
      <c r="J34" s="455"/>
      <c r="K34" s="476"/>
      <c r="L34" s="474"/>
      <c r="M34" s="451"/>
      <c r="N34" s="481"/>
      <c r="O34" s="481"/>
      <c r="P34" s="481"/>
      <c r="Q34" s="481"/>
      <c r="R34" s="481"/>
      <c r="S34" s="481"/>
      <c r="T34" s="455"/>
      <c r="U34" s="455"/>
      <c r="V34" s="476"/>
      <c r="W34" s="451"/>
      <c r="X34" s="481"/>
      <c r="Y34" s="481"/>
      <c r="Z34" s="481"/>
      <c r="AA34" s="481"/>
      <c r="AB34" s="481"/>
      <c r="AC34" s="481"/>
      <c r="AD34" s="455"/>
      <c r="AE34" s="455"/>
      <c r="AF34" s="476"/>
    </row>
    <row r="35" spans="1:32" customFormat="1">
      <c r="A35" s="451"/>
      <c r="B35" s="469" t="s">
        <v>626</v>
      </c>
      <c r="C35" s="482"/>
      <c r="D35" s="483">
        <f>1%/(1-6%)</f>
        <v>1.0638297872340427E-2</v>
      </c>
      <c r="E35" s="483">
        <v>0</v>
      </c>
      <c r="F35" s="483">
        <v>0.01</v>
      </c>
      <c r="G35" s="483">
        <v>0</v>
      </c>
      <c r="H35" s="483">
        <v>0</v>
      </c>
      <c r="I35" s="483">
        <v>0</v>
      </c>
      <c r="J35" s="483">
        <v>0</v>
      </c>
      <c r="K35" s="484"/>
      <c r="L35" s="455"/>
      <c r="M35" s="451"/>
      <c r="N35" s="482"/>
      <c r="O35" s="483">
        <f>0.4%/(1-22%)</f>
        <v>5.1282051282051282E-3</v>
      </c>
      <c r="P35" s="483">
        <v>0</v>
      </c>
      <c r="Q35" s="483">
        <v>0</v>
      </c>
      <c r="R35" s="483">
        <v>0</v>
      </c>
      <c r="S35" s="483">
        <v>0</v>
      </c>
      <c r="T35" s="483">
        <v>0</v>
      </c>
      <c r="U35" s="483">
        <v>0</v>
      </c>
      <c r="V35" s="484"/>
      <c r="W35" s="451"/>
      <c r="X35" s="482"/>
      <c r="Y35" s="483">
        <f>1%/(1-12%)</f>
        <v>1.1363636363636364E-2</v>
      </c>
      <c r="Z35" s="483">
        <v>0.02</v>
      </c>
      <c r="AA35" s="483">
        <v>0</v>
      </c>
      <c r="AB35" s="483">
        <v>0</v>
      </c>
      <c r="AC35" s="483">
        <v>0</v>
      </c>
      <c r="AD35" s="483">
        <v>0</v>
      </c>
      <c r="AE35" s="483">
        <v>0.02</v>
      </c>
      <c r="AF35" s="484"/>
    </row>
    <row r="36" spans="1:32" customFormat="1">
      <c r="A36" s="451"/>
      <c r="B36" s="469" t="s">
        <v>627</v>
      </c>
      <c r="C36" s="485"/>
      <c r="D36" s="486">
        <f t="shared" ref="D36:I36" si="4">D33*D35</f>
        <v>4642.0157237323465</v>
      </c>
      <c r="E36" s="486">
        <f t="shared" si="4"/>
        <v>0</v>
      </c>
      <c r="F36" s="486">
        <f t="shared" si="4"/>
        <v>3356.666666666667</v>
      </c>
      <c r="G36" s="486">
        <f t="shared" si="4"/>
        <v>0</v>
      </c>
      <c r="H36" s="486">
        <f t="shared" si="4"/>
        <v>0</v>
      </c>
      <c r="I36" s="486">
        <f t="shared" si="4"/>
        <v>0</v>
      </c>
      <c r="J36" s="486">
        <f>J33*J35</f>
        <v>0</v>
      </c>
      <c r="K36" s="487">
        <f>SUM(D36:J36)</f>
        <v>7998.6823903990135</v>
      </c>
      <c r="L36" s="455"/>
      <c r="M36" s="451"/>
      <c r="N36" s="485"/>
      <c r="O36" s="486">
        <f t="shared" ref="O36:T36" si="5">O33*O35</f>
        <v>2015.2012637416492</v>
      </c>
      <c r="P36" s="486">
        <f t="shared" si="5"/>
        <v>0</v>
      </c>
      <c r="Q36" s="486">
        <f t="shared" si="5"/>
        <v>0</v>
      </c>
      <c r="R36" s="486">
        <f t="shared" si="5"/>
        <v>0</v>
      </c>
      <c r="S36" s="486">
        <f t="shared" si="5"/>
        <v>0</v>
      </c>
      <c r="T36" s="486">
        <f t="shared" si="5"/>
        <v>0</v>
      </c>
      <c r="U36" s="486">
        <f>U33*U35</f>
        <v>0</v>
      </c>
      <c r="V36" s="487">
        <f>SUM(O36:U36)</f>
        <v>2015.2012637416492</v>
      </c>
      <c r="W36" s="451"/>
      <c r="X36" s="485"/>
      <c r="Y36" s="486">
        <f t="shared" ref="Y36:AD36" si="6">Y33*Y35</f>
        <v>4973.9617224963476</v>
      </c>
      <c r="Z36" s="486">
        <f t="shared" si="6"/>
        <v>252.97667064631671</v>
      </c>
      <c r="AA36" s="486">
        <f t="shared" si="6"/>
        <v>0</v>
      </c>
      <c r="AB36" s="486">
        <f t="shared" si="6"/>
        <v>0</v>
      </c>
      <c r="AC36" s="486">
        <f t="shared" si="6"/>
        <v>0</v>
      </c>
      <c r="AD36" s="486">
        <f t="shared" si="6"/>
        <v>0</v>
      </c>
      <c r="AE36" s="486">
        <f>AE33*AE35</f>
        <v>2604.1661864965408</v>
      </c>
      <c r="AF36" s="487">
        <f>SUM(Y36:AE36)</f>
        <v>7831.1045796392054</v>
      </c>
    </row>
    <row r="37" spans="1:32" customFormat="1">
      <c r="A37" s="451"/>
      <c r="B37" s="469" t="s">
        <v>628</v>
      </c>
      <c r="C37" s="488"/>
      <c r="D37" s="471">
        <f>D33-D36</f>
        <v>431707.46230710816</v>
      </c>
      <c r="E37" s="471">
        <f t="shared" ref="E37:J37" si="7">E33-E36</f>
        <v>16751.196039163329</v>
      </c>
      <c r="F37" s="471">
        <f t="shared" si="7"/>
        <v>332310</v>
      </c>
      <c r="G37" s="471">
        <f t="shared" si="7"/>
        <v>229666.66666666669</v>
      </c>
      <c r="H37" s="471">
        <f t="shared" si="7"/>
        <v>35333.333333333336</v>
      </c>
      <c r="I37" s="471">
        <f t="shared" si="7"/>
        <v>512333.33333333326</v>
      </c>
      <c r="J37" s="471">
        <f t="shared" si="7"/>
        <v>177582.13729417001</v>
      </c>
      <c r="K37" s="489">
        <f>SUM(D37:J37)</f>
        <v>1735684.1289737746</v>
      </c>
      <c r="L37" s="474"/>
      <c r="M37" s="451"/>
      <c r="N37" s="488"/>
      <c r="O37" s="471">
        <f>O33-O36</f>
        <v>390949.04516587994</v>
      </c>
      <c r="P37" s="471">
        <f t="shared" ref="P37:U37" si="8">P33-P36</f>
        <v>11637.365896747173</v>
      </c>
      <c r="Q37" s="471">
        <f t="shared" si="8"/>
        <v>295238.09523809527</v>
      </c>
      <c r="R37" s="471">
        <f t="shared" si="8"/>
        <v>132857.14285714287</v>
      </c>
      <c r="S37" s="471">
        <f t="shared" si="8"/>
        <v>73809.523809523816</v>
      </c>
      <c r="T37" s="471">
        <f t="shared" si="8"/>
        <v>428095.23809523811</v>
      </c>
      <c r="U37" s="471">
        <f t="shared" si="8"/>
        <v>121219.7769603957</v>
      </c>
      <c r="V37" s="489">
        <f>SUM(O37:U37)</f>
        <v>1453806.1880230228</v>
      </c>
      <c r="W37" s="451"/>
      <c r="X37" s="488"/>
      <c r="Y37" s="471">
        <f>Y33-Y36</f>
        <v>432734.66985718219</v>
      </c>
      <c r="Z37" s="471">
        <f t="shared" ref="Z37:AE37" si="9">Z33-Z36</f>
        <v>12395.856861669519</v>
      </c>
      <c r="AA37" s="471">
        <f t="shared" si="9"/>
        <v>333333.33333333337</v>
      </c>
      <c r="AB37" s="471">
        <f t="shared" si="9"/>
        <v>142857.14285714287</v>
      </c>
      <c r="AC37" s="471">
        <f t="shared" si="9"/>
        <v>31746.031746031749</v>
      </c>
      <c r="AD37" s="471">
        <f t="shared" si="9"/>
        <v>460317.46031746035</v>
      </c>
      <c r="AE37" s="471">
        <f t="shared" si="9"/>
        <v>127604.14313833049</v>
      </c>
      <c r="AF37" s="489">
        <f>SUM(Y37:AE37)</f>
        <v>1540988.6381111504</v>
      </c>
    </row>
    <row r="38" spans="1:32" customFormat="1">
      <c r="A38" s="451"/>
      <c r="B38" s="686" t="s">
        <v>629</v>
      </c>
      <c r="C38" s="455"/>
      <c r="D38" s="455"/>
      <c r="E38" s="455"/>
      <c r="F38" s="455"/>
      <c r="G38" s="455"/>
      <c r="H38" s="455"/>
      <c r="I38" s="455"/>
      <c r="J38" s="455"/>
      <c r="K38" s="490" t="b">
        <f>SUM(K36:K37)=SUM(C33:J33)</f>
        <v>1</v>
      </c>
      <c r="L38" s="451"/>
      <c r="M38" s="451"/>
      <c r="N38" s="455"/>
      <c r="O38" s="455"/>
      <c r="P38" s="455"/>
      <c r="Q38" s="455"/>
      <c r="R38" s="455"/>
      <c r="S38" s="455"/>
      <c r="T38" s="455"/>
      <c r="U38" s="455"/>
      <c r="V38" s="490" t="b">
        <f>SUM(V36:V37)=SUM(N33:U33)</f>
        <v>1</v>
      </c>
      <c r="W38" s="451"/>
      <c r="X38" s="455"/>
      <c r="Y38" s="455"/>
      <c r="Z38" s="455"/>
      <c r="AA38" s="455"/>
      <c r="AB38" s="455"/>
      <c r="AC38" s="455"/>
      <c r="AD38" s="455"/>
      <c r="AE38" s="455"/>
      <c r="AF38" s="490" t="b">
        <f>SUM(AF36:AF37)=SUM(X33:AE33)</f>
        <v>1</v>
      </c>
    </row>
    <row r="39" spans="1:32" customFormat="1">
      <c r="A39" s="451"/>
      <c r="B39" s="457" t="s">
        <v>630</v>
      </c>
      <c r="C39" s="491"/>
      <c r="D39" s="483">
        <v>0.01</v>
      </c>
      <c r="E39" s="483">
        <v>0.17</v>
      </c>
      <c r="F39" s="483"/>
      <c r="G39" s="483"/>
      <c r="H39" s="483"/>
      <c r="I39" s="483">
        <v>0.05</v>
      </c>
      <c r="J39" s="492">
        <v>0.17</v>
      </c>
      <c r="K39" s="493"/>
      <c r="L39" s="455"/>
      <c r="M39" s="451"/>
      <c r="N39" s="491"/>
      <c r="O39" s="483">
        <v>0.02</v>
      </c>
      <c r="P39" s="483">
        <v>0.14000000000000001</v>
      </c>
      <c r="Q39" s="483"/>
      <c r="R39" s="483"/>
      <c r="S39" s="483">
        <v>0.01</v>
      </c>
      <c r="T39" s="483">
        <v>0.24</v>
      </c>
      <c r="U39" s="492">
        <v>0.14000000000000001</v>
      </c>
      <c r="V39" s="493"/>
      <c r="W39" s="451"/>
      <c r="X39" s="491"/>
      <c r="Y39" s="483"/>
      <c r="Z39" s="483">
        <f>10%/0.99</f>
        <v>0.10101010101010102</v>
      </c>
      <c r="AA39" s="483"/>
      <c r="AB39" s="483"/>
      <c r="AC39" s="483">
        <f>1%/1.01</f>
        <v>9.9009900990099011E-3</v>
      </c>
      <c r="AD39" s="483">
        <v>0.65</v>
      </c>
      <c r="AE39" s="492">
        <f>10%/0.99</f>
        <v>0.10101010101010102</v>
      </c>
      <c r="AF39" s="493"/>
    </row>
    <row r="40" spans="1:32" customFormat="1">
      <c r="A40" s="451"/>
      <c r="B40" s="457" t="s">
        <v>631</v>
      </c>
      <c r="C40" s="485"/>
      <c r="D40" s="494">
        <v>0.48</v>
      </c>
      <c r="E40" s="494">
        <v>0.59</v>
      </c>
      <c r="F40" s="494">
        <v>0.92</v>
      </c>
      <c r="G40" s="494">
        <v>0.98</v>
      </c>
      <c r="H40" s="494"/>
      <c r="I40" s="494">
        <v>0.61</v>
      </c>
      <c r="J40" s="495">
        <v>0.59</v>
      </c>
      <c r="K40" s="493"/>
      <c r="L40" s="455"/>
      <c r="M40" s="451"/>
      <c r="N40" s="485"/>
      <c r="O40" s="494">
        <v>0.69</v>
      </c>
      <c r="P40" s="494">
        <v>0.63</v>
      </c>
      <c r="Q40" s="494">
        <v>0.98</v>
      </c>
      <c r="R40" s="494">
        <v>1</v>
      </c>
      <c r="S40" s="494">
        <v>0.93</v>
      </c>
      <c r="T40" s="494">
        <v>0.22</v>
      </c>
      <c r="U40" s="495">
        <v>0.63</v>
      </c>
      <c r="V40" s="493"/>
      <c r="W40" s="451"/>
      <c r="X40" s="485"/>
      <c r="Y40" s="494">
        <f>50%/0.95</f>
        <v>0.52631578947368418</v>
      </c>
      <c r="Z40" s="494">
        <f>72%/0.99</f>
        <v>0.72727272727272729</v>
      </c>
      <c r="AA40" s="494">
        <f>89%/0.99</f>
        <v>0.89898989898989901</v>
      </c>
      <c r="AB40" s="494">
        <v>1</v>
      </c>
      <c r="AC40" s="494">
        <f>44%/1.01</f>
        <v>0.43564356435643564</v>
      </c>
      <c r="AD40" s="494">
        <v>0.31</v>
      </c>
      <c r="AE40" s="495">
        <f>72%/0.99</f>
        <v>0.72727272727272729</v>
      </c>
      <c r="AF40" s="493"/>
    </row>
    <row r="41" spans="1:32" customFormat="1">
      <c r="A41" s="451"/>
      <c r="B41" s="457" t="s">
        <v>632</v>
      </c>
      <c r="C41" s="485"/>
      <c r="D41" s="494">
        <v>0.22</v>
      </c>
      <c r="E41" s="494"/>
      <c r="F41" s="494"/>
      <c r="G41" s="494"/>
      <c r="H41" s="494"/>
      <c r="I41" s="494">
        <v>0.31</v>
      </c>
      <c r="J41" s="495"/>
      <c r="K41" s="493"/>
      <c r="L41" s="455"/>
      <c r="M41" s="451"/>
      <c r="N41" s="485"/>
      <c r="O41" s="494">
        <v>0.04</v>
      </c>
      <c r="P41" s="494"/>
      <c r="Q41" s="494"/>
      <c r="R41" s="494"/>
      <c r="S41" s="494"/>
      <c r="T41" s="494">
        <v>0.49</v>
      </c>
      <c r="U41" s="495"/>
      <c r="V41" s="493"/>
      <c r="W41" s="451"/>
      <c r="X41" s="485"/>
      <c r="Y41" s="494">
        <f>9%/0.95</f>
        <v>9.4736842105263161E-2</v>
      </c>
      <c r="Z41" s="494"/>
      <c r="AA41" s="494">
        <f>3%/0.99</f>
        <v>3.0303030303030304E-2</v>
      </c>
      <c r="AB41" s="494"/>
      <c r="AC41" s="494"/>
      <c r="AD41" s="494">
        <v>0.01</v>
      </c>
      <c r="AE41" s="495"/>
      <c r="AF41" s="493"/>
    </row>
    <row r="42" spans="1:32" customFormat="1">
      <c r="A42" s="451"/>
      <c r="B42" s="457" t="s">
        <v>633</v>
      </c>
      <c r="C42" s="485"/>
      <c r="D42" s="494">
        <v>0.09</v>
      </c>
      <c r="E42" s="494">
        <v>0.12</v>
      </c>
      <c r="F42" s="494"/>
      <c r="G42" s="494"/>
      <c r="H42" s="494">
        <v>0.01</v>
      </c>
      <c r="I42" s="494"/>
      <c r="J42" s="495">
        <v>0.12</v>
      </c>
      <c r="K42" s="493"/>
      <c r="L42" s="455"/>
      <c r="M42" s="451"/>
      <c r="N42" s="485"/>
      <c r="O42" s="494">
        <v>0.02</v>
      </c>
      <c r="P42" s="494">
        <v>0.09</v>
      </c>
      <c r="Q42" s="494">
        <v>0.02</v>
      </c>
      <c r="R42" s="494"/>
      <c r="S42" s="494">
        <v>0.01</v>
      </c>
      <c r="T42" s="494"/>
      <c r="U42" s="495">
        <v>0.09</v>
      </c>
      <c r="V42" s="493"/>
      <c r="W42" s="451"/>
      <c r="X42" s="485"/>
      <c r="Y42" s="494">
        <f>2%/0.95</f>
        <v>2.1052631578947371E-2</v>
      </c>
      <c r="Z42" s="494">
        <f>10%/0.99</f>
        <v>0.10101010101010102</v>
      </c>
      <c r="AA42" s="494">
        <f>4%/0.99</f>
        <v>4.0404040404040407E-2</v>
      </c>
      <c r="AB42" s="494"/>
      <c r="AC42" s="494">
        <f>49%/1.01</f>
        <v>0.48514851485148514</v>
      </c>
      <c r="AD42" s="494"/>
      <c r="AE42" s="495">
        <f>10%/0.99</f>
        <v>0.10101010101010102</v>
      </c>
      <c r="AF42" s="493"/>
    </row>
    <row r="43" spans="1:32" customFormat="1">
      <c r="A43" s="451"/>
      <c r="B43" s="457" t="s">
        <v>634</v>
      </c>
      <c r="C43" s="485"/>
      <c r="D43" s="494">
        <v>0.17</v>
      </c>
      <c r="E43" s="494">
        <v>0.06</v>
      </c>
      <c r="F43" s="494">
        <v>0.08</v>
      </c>
      <c r="G43" s="494">
        <v>0.01</v>
      </c>
      <c r="H43" s="494">
        <v>0.99</v>
      </c>
      <c r="I43" s="494">
        <v>0.03</v>
      </c>
      <c r="J43" s="495">
        <v>0.06</v>
      </c>
      <c r="K43" s="493"/>
      <c r="L43" s="455"/>
      <c r="M43" s="451"/>
      <c r="N43" s="485"/>
      <c r="O43" s="494">
        <v>0.2</v>
      </c>
      <c r="P43" s="494">
        <v>0.14000000000000001</v>
      </c>
      <c r="Q43" s="494"/>
      <c r="R43" s="494"/>
      <c r="S43" s="494"/>
      <c r="T43" s="494">
        <v>0.02</v>
      </c>
      <c r="U43" s="495">
        <v>0.14000000000000001</v>
      </c>
      <c r="V43" s="493"/>
      <c r="W43" s="451"/>
      <c r="X43" s="485"/>
      <c r="Y43" s="494">
        <f>16%/0.95</f>
        <v>0.16842105263157897</v>
      </c>
      <c r="Z43" s="494">
        <f>7%/0.99</f>
        <v>7.0707070707070718E-2</v>
      </c>
      <c r="AA43" s="494"/>
      <c r="AB43" s="494"/>
      <c r="AC43" s="494">
        <f>7%/1.01</f>
        <v>6.9306930693069313E-2</v>
      </c>
      <c r="AD43" s="494">
        <v>0.03</v>
      </c>
      <c r="AE43" s="495">
        <f>7%/0.99</f>
        <v>7.0707070707070718E-2</v>
      </c>
      <c r="AF43" s="493"/>
    </row>
    <row r="44" spans="1:32" customFormat="1">
      <c r="A44" s="451"/>
      <c r="B44" s="457" t="s">
        <v>635</v>
      </c>
      <c r="C44" s="485"/>
      <c r="D44" s="494">
        <v>0.03</v>
      </c>
      <c r="E44" s="494"/>
      <c r="F44" s="494"/>
      <c r="G44" s="494"/>
      <c r="H44" s="494"/>
      <c r="I44" s="494"/>
      <c r="J44" s="495"/>
      <c r="K44" s="493"/>
      <c r="L44" s="455"/>
      <c r="M44" s="451"/>
      <c r="N44" s="485"/>
      <c r="O44" s="494">
        <v>0.03</v>
      </c>
      <c r="P44" s="494"/>
      <c r="Q44" s="494"/>
      <c r="R44" s="494"/>
      <c r="S44" s="494"/>
      <c r="T44" s="494"/>
      <c r="U44" s="495"/>
      <c r="V44" s="493"/>
      <c r="W44" s="451"/>
      <c r="X44" s="485"/>
      <c r="Y44" s="494">
        <f>4%/0.95</f>
        <v>4.2105263157894743E-2</v>
      </c>
      <c r="Z44" s="494"/>
      <c r="AA44" s="494"/>
      <c r="AB44" s="494"/>
      <c r="AC44" s="494"/>
      <c r="AD44" s="494"/>
      <c r="AE44" s="495"/>
      <c r="AF44" s="493"/>
    </row>
    <row r="45" spans="1:32" customFormat="1">
      <c r="A45" s="451"/>
      <c r="B45" s="457" t="s">
        <v>84</v>
      </c>
      <c r="C45" s="488"/>
      <c r="D45" s="496">
        <v>0</v>
      </c>
      <c r="E45" s="496">
        <v>0.06</v>
      </c>
      <c r="F45" s="496"/>
      <c r="G45" s="496">
        <v>0.01</v>
      </c>
      <c r="H45" s="496"/>
      <c r="I45" s="496"/>
      <c r="J45" s="497">
        <v>0.06</v>
      </c>
      <c r="K45" s="493"/>
      <c r="L45" s="455"/>
      <c r="M45" s="451"/>
      <c r="N45" s="488"/>
      <c r="O45" s="496">
        <v>0</v>
      </c>
      <c r="P45" s="496"/>
      <c r="Q45" s="496"/>
      <c r="R45" s="496"/>
      <c r="S45" s="496">
        <v>0.05</v>
      </c>
      <c r="T45" s="496">
        <v>0.03</v>
      </c>
      <c r="U45" s="497"/>
      <c r="V45" s="493"/>
      <c r="W45" s="451"/>
      <c r="X45" s="488"/>
      <c r="Y45" s="496">
        <f>15%/0.95</f>
        <v>0.15789473684210525</v>
      </c>
      <c r="Z45" s="496"/>
      <c r="AA45" s="496">
        <f>3%/0.99</f>
        <v>3.0303030303030304E-2</v>
      </c>
      <c r="AB45" s="496"/>
      <c r="AC45" s="496"/>
      <c r="AD45" s="496"/>
      <c r="AE45" s="497"/>
      <c r="AF45" s="493"/>
    </row>
    <row r="46" spans="1:32" customFormat="1">
      <c r="A46" s="451"/>
      <c r="B46" s="498" t="s">
        <v>636</v>
      </c>
      <c r="C46" s="498"/>
      <c r="D46" s="498" t="b">
        <f>SUM(D39:D45)=1</f>
        <v>1</v>
      </c>
      <c r="E46" s="498" t="b">
        <f t="shared" ref="E46:J46" si="10">SUM(E39:E45)=1</f>
        <v>1</v>
      </c>
      <c r="F46" s="498" t="b">
        <f t="shared" si="10"/>
        <v>1</v>
      </c>
      <c r="G46" s="498" t="b">
        <f t="shared" si="10"/>
        <v>1</v>
      </c>
      <c r="H46" s="498" t="b">
        <f t="shared" si="10"/>
        <v>1</v>
      </c>
      <c r="I46" s="498" t="b">
        <f t="shared" si="10"/>
        <v>1</v>
      </c>
      <c r="J46" s="498" t="b">
        <f t="shared" si="10"/>
        <v>1</v>
      </c>
      <c r="K46" s="493"/>
      <c r="L46" s="455"/>
      <c r="M46" s="451"/>
      <c r="N46" s="498"/>
      <c r="O46" s="498" t="b">
        <f>SUM(O39:O45)=1</f>
        <v>1</v>
      </c>
      <c r="P46" s="498" t="b">
        <f t="shared" ref="P46:U46" si="11">SUM(P39:P45)=1</f>
        <v>1</v>
      </c>
      <c r="Q46" s="498" t="b">
        <f t="shared" si="11"/>
        <v>1</v>
      </c>
      <c r="R46" s="498" t="b">
        <f t="shared" si="11"/>
        <v>1</v>
      </c>
      <c r="S46" s="498" t="b">
        <f t="shared" si="11"/>
        <v>1</v>
      </c>
      <c r="T46" s="498" t="b">
        <f t="shared" si="11"/>
        <v>1</v>
      </c>
      <c r="U46" s="498" t="b">
        <f t="shared" si="11"/>
        <v>1</v>
      </c>
      <c r="V46" s="493"/>
      <c r="W46" s="451"/>
      <c r="X46" s="498"/>
      <c r="Y46" s="498" t="b">
        <f t="shared" ref="Y46:AE46" si="12">SUM(Y39:Y45)=1</f>
        <v>0</v>
      </c>
      <c r="Z46" s="498" t="b">
        <f t="shared" si="12"/>
        <v>1</v>
      </c>
      <c r="AA46" s="498" t="b">
        <f t="shared" si="12"/>
        <v>1</v>
      </c>
      <c r="AB46" s="498" t="b">
        <f t="shared" si="12"/>
        <v>1</v>
      </c>
      <c r="AC46" s="498" t="b">
        <f t="shared" si="12"/>
        <v>1</v>
      </c>
      <c r="AD46" s="498" t="b">
        <f t="shared" si="12"/>
        <v>1</v>
      </c>
      <c r="AE46" s="498" t="b">
        <f t="shared" si="12"/>
        <v>1</v>
      </c>
      <c r="AF46" s="493"/>
    </row>
    <row r="47" spans="1:32" customFormat="1">
      <c r="A47" s="451"/>
      <c r="B47" s="686" t="s">
        <v>637</v>
      </c>
      <c r="C47" s="455"/>
      <c r="D47" s="455"/>
      <c r="E47" s="455"/>
      <c r="F47" s="455"/>
      <c r="G47" s="455"/>
      <c r="H47" s="455"/>
      <c r="I47" s="455"/>
      <c r="J47" s="455"/>
      <c r="K47" s="455"/>
      <c r="L47" s="455"/>
      <c r="M47" s="451"/>
      <c r="N47" s="455"/>
      <c r="O47" s="455"/>
      <c r="P47" s="455"/>
      <c r="Q47" s="455"/>
      <c r="R47" s="455"/>
      <c r="S47" s="455"/>
      <c r="T47" s="455"/>
      <c r="U47" s="455"/>
      <c r="V47" s="455"/>
      <c r="W47" s="451"/>
      <c r="X47" s="455"/>
      <c r="Y47" s="455"/>
      <c r="Z47" s="455"/>
      <c r="AA47" s="455"/>
      <c r="AB47" s="455"/>
      <c r="AC47" s="455"/>
      <c r="AD47" s="455"/>
      <c r="AE47" s="455"/>
      <c r="AF47" s="455"/>
    </row>
    <row r="48" spans="1:32" customFormat="1">
      <c r="A48" s="451"/>
      <c r="B48" s="457" t="s">
        <v>630</v>
      </c>
      <c r="C48" s="491"/>
      <c r="D48" s="499">
        <f>D39/(1-D$35)</f>
        <v>1.010752688172043E-2</v>
      </c>
      <c r="E48" s="499">
        <f t="shared" ref="E48:J54" si="13">E39/(1-E$35)</f>
        <v>0.17</v>
      </c>
      <c r="F48" s="499">
        <f t="shared" si="13"/>
        <v>0</v>
      </c>
      <c r="G48" s="499">
        <f t="shared" si="13"/>
        <v>0</v>
      </c>
      <c r="H48" s="499">
        <f t="shared" si="13"/>
        <v>0</v>
      </c>
      <c r="I48" s="499">
        <f t="shared" si="13"/>
        <v>0.05</v>
      </c>
      <c r="J48" s="500">
        <f t="shared" si="13"/>
        <v>0.17</v>
      </c>
      <c r="K48" s="493"/>
      <c r="L48" s="455"/>
      <c r="M48" s="451"/>
      <c r="N48" s="491"/>
      <c r="O48" s="499">
        <f>O39/(1-O$35)</f>
        <v>2.0103092783505156E-2</v>
      </c>
      <c r="P48" s="499">
        <f t="shared" ref="P48:U54" si="14">P39/(1-P$35)</f>
        <v>0.14000000000000001</v>
      </c>
      <c r="Q48" s="499">
        <f t="shared" si="14"/>
        <v>0</v>
      </c>
      <c r="R48" s="499">
        <f t="shared" si="14"/>
        <v>0</v>
      </c>
      <c r="S48" s="499">
        <f t="shared" si="14"/>
        <v>0.01</v>
      </c>
      <c r="T48" s="499">
        <f t="shared" si="14"/>
        <v>0.24</v>
      </c>
      <c r="U48" s="500">
        <f t="shared" si="14"/>
        <v>0.14000000000000001</v>
      </c>
      <c r="V48" s="493"/>
      <c r="W48" s="451"/>
      <c r="X48" s="491"/>
      <c r="Y48" s="499">
        <f>Y39/(1-Y$35)/SUM(Y$39:Y$45)</f>
        <v>0</v>
      </c>
      <c r="Z48" s="499">
        <f t="shared" ref="Z48:AE54" si="15">Z39/(1-Z$35)</f>
        <v>0.10307153164296023</v>
      </c>
      <c r="AA48" s="499">
        <f t="shared" si="15"/>
        <v>0</v>
      </c>
      <c r="AB48" s="499">
        <f t="shared" si="15"/>
        <v>0</v>
      </c>
      <c r="AC48" s="499">
        <f t="shared" si="15"/>
        <v>9.9009900990099011E-3</v>
      </c>
      <c r="AD48" s="499">
        <f t="shared" si="15"/>
        <v>0.65</v>
      </c>
      <c r="AE48" s="500">
        <f t="shared" si="15"/>
        <v>0.10307153164296023</v>
      </c>
      <c r="AF48" s="493"/>
    </row>
    <row r="49" spans="1:32" customFormat="1">
      <c r="A49" s="451"/>
      <c r="B49" s="457" t="s">
        <v>631</v>
      </c>
      <c r="C49" s="485"/>
      <c r="D49" s="501">
        <f>D40/(1-D$35)</f>
        <v>0.4851612903225806</v>
      </c>
      <c r="E49" s="501">
        <f t="shared" si="13"/>
        <v>0.59</v>
      </c>
      <c r="F49" s="501">
        <f>(F40-F35)/(1-F$35)</f>
        <v>0.91919191919191923</v>
      </c>
      <c r="G49" s="501">
        <f t="shared" si="13"/>
        <v>0.98</v>
      </c>
      <c r="H49" s="501">
        <f t="shared" si="13"/>
        <v>0</v>
      </c>
      <c r="I49" s="501">
        <f t="shared" si="13"/>
        <v>0.61</v>
      </c>
      <c r="J49" s="502">
        <f t="shared" si="13"/>
        <v>0.59</v>
      </c>
      <c r="K49" s="493"/>
      <c r="L49" s="455"/>
      <c r="M49" s="451"/>
      <c r="N49" s="485"/>
      <c r="O49" s="501">
        <f>O40/(1-O$35)</f>
        <v>0.69355670103092781</v>
      </c>
      <c r="P49" s="501">
        <f t="shared" si="14"/>
        <v>0.63</v>
      </c>
      <c r="Q49" s="501">
        <f>(Q40-Q35)/(1-Q$35)</f>
        <v>0.98</v>
      </c>
      <c r="R49" s="501">
        <f t="shared" si="14"/>
        <v>1</v>
      </c>
      <c r="S49" s="501">
        <f t="shared" si="14"/>
        <v>0.93</v>
      </c>
      <c r="T49" s="501">
        <f t="shared" si="14"/>
        <v>0.22</v>
      </c>
      <c r="U49" s="502">
        <f t="shared" si="14"/>
        <v>0.63</v>
      </c>
      <c r="V49" s="493"/>
      <c r="W49" s="451"/>
      <c r="X49" s="485"/>
      <c r="Y49" s="501">
        <f>Y40/(1-Y$35)</f>
        <v>0.53236539624924373</v>
      </c>
      <c r="Z49" s="501">
        <f t="shared" si="15"/>
        <v>0.7421150278293136</v>
      </c>
      <c r="AA49" s="501">
        <f>(AA40-AA35)/(1-AA$35)</f>
        <v>0.89898989898989901</v>
      </c>
      <c r="AB49" s="501">
        <f t="shared" si="15"/>
        <v>1</v>
      </c>
      <c r="AC49" s="501">
        <f t="shared" si="15"/>
        <v>0.43564356435643564</v>
      </c>
      <c r="AD49" s="501">
        <f t="shared" si="15"/>
        <v>0.31</v>
      </c>
      <c r="AE49" s="502">
        <f>AE40/(1-AE$35)</f>
        <v>0.7421150278293136</v>
      </c>
      <c r="AF49" s="493"/>
    </row>
    <row r="50" spans="1:32" customFormat="1">
      <c r="A50" s="451"/>
      <c r="B50" s="457" t="s">
        <v>632</v>
      </c>
      <c r="C50" s="485"/>
      <c r="D50" s="501">
        <f>D41/(1-D$35)</f>
        <v>0.22236559139784945</v>
      </c>
      <c r="E50" s="501">
        <f t="shared" si="13"/>
        <v>0</v>
      </c>
      <c r="F50" s="501">
        <f>F41/(1-F$35)</f>
        <v>0</v>
      </c>
      <c r="G50" s="501">
        <f t="shared" si="13"/>
        <v>0</v>
      </c>
      <c r="H50" s="501">
        <f t="shared" si="13"/>
        <v>0</v>
      </c>
      <c r="I50" s="501">
        <f t="shared" si="13"/>
        <v>0.31</v>
      </c>
      <c r="J50" s="502">
        <f t="shared" si="13"/>
        <v>0</v>
      </c>
      <c r="K50" s="493"/>
      <c r="L50" s="455"/>
      <c r="M50" s="451"/>
      <c r="N50" s="485"/>
      <c r="O50" s="501">
        <f>O41/(1-O$35)</f>
        <v>4.0206185567010312E-2</v>
      </c>
      <c r="P50" s="501">
        <f t="shared" si="14"/>
        <v>0</v>
      </c>
      <c r="Q50" s="501">
        <f>Q41/(1-Q$35)</f>
        <v>0</v>
      </c>
      <c r="R50" s="501">
        <f t="shared" si="14"/>
        <v>0</v>
      </c>
      <c r="S50" s="501">
        <f t="shared" si="14"/>
        <v>0</v>
      </c>
      <c r="T50" s="501">
        <f t="shared" si="14"/>
        <v>0.49</v>
      </c>
      <c r="U50" s="502">
        <f t="shared" si="14"/>
        <v>0</v>
      </c>
      <c r="V50" s="493"/>
      <c r="W50" s="451"/>
      <c r="X50" s="485"/>
      <c r="Y50" s="501">
        <f>Y41/(1-Y$35)</f>
        <v>9.582577132486389E-2</v>
      </c>
      <c r="Z50" s="501">
        <f t="shared" si="15"/>
        <v>0</v>
      </c>
      <c r="AA50" s="501">
        <f>AA41/(1-AA$35)</f>
        <v>3.0303030303030304E-2</v>
      </c>
      <c r="AB50" s="501">
        <f t="shared" si="15"/>
        <v>0</v>
      </c>
      <c r="AC50" s="501">
        <f t="shared" si="15"/>
        <v>0</v>
      </c>
      <c r="AD50" s="501">
        <f t="shared" si="15"/>
        <v>0.01</v>
      </c>
      <c r="AE50" s="502">
        <f t="shared" si="15"/>
        <v>0</v>
      </c>
      <c r="AF50" s="493"/>
    </row>
    <row r="51" spans="1:32" customFormat="1">
      <c r="A51" s="451"/>
      <c r="B51" s="457" t="s">
        <v>633</v>
      </c>
      <c r="C51" s="485"/>
      <c r="D51" s="501">
        <f>(D42-D35)/(1-D$35)</f>
        <v>8.0215053763440847E-2</v>
      </c>
      <c r="E51" s="501">
        <f t="shared" si="13"/>
        <v>0.12</v>
      </c>
      <c r="F51" s="501">
        <f>F42/(1-F$35)</f>
        <v>0</v>
      </c>
      <c r="G51" s="501">
        <f t="shared" si="13"/>
        <v>0</v>
      </c>
      <c r="H51" s="501">
        <f t="shared" si="13"/>
        <v>0.01</v>
      </c>
      <c r="I51" s="501">
        <f t="shared" si="13"/>
        <v>0</v>
      </c>
      <c r="J51" s="502">
        <f t="shared" si="13"/>
        <v>0.12</v>
      </c>
      <c r="K51" s="493"/>
      <c r="L51" s="455"/>
      <c r="M51" s="451"/>
      <c r="N51" s="485"/>
      <c r="O51" s="501">
        <f>(O42-O35)/(1-O$35)</f>
        <v>1.4948453608247423E-2</v>
      </c>
      <c r="P51" s="501">
        <f t="shared" si="14"/>
        <v>0.09</v>
      </c>
      <c r="Q51" s="501">
        <f>Q42/(1-Q$35)</f>
        <v>0.02</v>
      </c>
      <c r="R51" s="501">
        <f t="shared" si="14"/>
        <v>0</v>
      </c>
      <c r="S51" s="501">
        <f t="shared" si="14"/>
        <v>0.01</v>
      </c>
      <c r="T51" s="501">
        <f t="shared" si="14"/>
        <v>0</v>
      </c>
      <c r="U51" s="502">
        <f t="shared" si="14"/>
        <v>0.09</v>
      </c>
      <c r="V51" s="493"/>
      <c r="W51" s="451"/>
      <c r="X51" s="485"/>
      <c r="Y51" s="501">
        <f>(Y42-Y35)/(1-Y$35)</f>
        <v>9.8003629764065354E-3</v>
      </c>
      <c r="Z51" s="501">
        <f t="shared" si="15"/>
        <v>0.10307153164296023</v>
      </c>
      <c r="AA51" s="501">
        <f>AA42/(1-AA$35)</f>
        <v>4.0404040404040407E-2</v>
      </c>
      <c r="AB51" s="501">
        <f t="shared" si="15"/>
        <v>0</v>
      </c>
      <c r="AC51" s="501">
        <f t="shared" si="15"/>
        <v>0.48514851485148514</v>
      </c>
      <c r="AD51" s="501">
        <f t="shared" si="15"/>
        <v>0</v>
      </c>
      <c r="AE51" s="502">
        <f t="shared" si="15"/>
        <v>0.10307153164296023</v>
      </c>
      <c r="AF51" s="493"/>
    </row>
    <row r="52" spans="1:32" customFormat="1">
      <c r="A52" s="451"/>
      <c r="B52" s="457" t="s">
        <v>634</v>
      </c>
      <c r="C52" s="485"/>
      <c r="D52" s="501">
        <f>D43/(1-D$35)</f>
        <v>0.17182795698924733</v>
      </c>
      <c r="E52" s="501">
        <f t="shared" si="13"/>
        <v>0.06</v>
      </c>
      <c r="F52" s="501">
        <f>F43/(1-F$35)</f>
        <v>8.0808080808080815E-2</v>
      </c>
      <c r="G52" s="501">
        <f t="shared" si="13"/>
        <v>0.01</v>
      </c>
      <c r="H52" s="501">
        <f t="shared" si="13"/>
        <v>0.99</v>
      </c>
      <c r="I52" s="501">
        <f t="shared" si="13"/>
        <v>0.03</v>
      </c>
      <c r="J52" s="502">
        <f t="shared" si="13"/>
        <v>0.06</v>
      </c>
      <c r="K52" s="493"/>
      <c r="L52" s="455"/>
      <c r="M52" s="451"/>
      <c r="N52" s="485"/>
      <c r="O52" s="501">
        <f>O43/(1-O$35)</f>
        <v>0.20103092783505155</v>
      </c>
      <c r="P52" s="501">
        <f t="shared" si="14"/>
        <v>0.14000000000000001</v>
      </c>
      <c r="Q52" s="501">
        <f>Q43/(1-Q$35)</f>
        <v>0</v>
      </c>
      <c r="R52" s="501">
        <f t="shared" si="14"/>
        <v>0</v>
      </c>
      <c r="S52" s="501">
        <f t="shared" si="14"/>
        <v>0</v>
      </c>
      <c r="T52" s="501">
        <f t="shared" si="14"/>
        <v>0.02</v>
      </c>
      <c r="U52" s="502">
        <f t="shared" si="14"/>
        <v>0.14000000000000001</v>
      </c>
      <c r="V52" s="493"/>
      <c r="W52" s="451"/>
      <c r="X52" s="485"/>
      <c r="Y52" s="501">
        <f>Y43/(1-Y$35)</f>
        <v>0.17035692679975803</v>
      </c>
      <c r="Z52" s="501">
        <f t="shared" si="15"/>
        <v>7.2150072150072159E-2</v>
      </c>
      <c r="AA52" s="501">
        <f>AA43/(1-AA$35)</f>
        <v>0</v>
      </c>
      <c r="AB52" s="501">
        <f t="shared" si="15"/>
        <v>0</v>
      </c>
      <c r="AC52" s="501">
        <f t="shared" si="15"/>
        <v>6.9306930693069313E-2</v>
      </c>
      <c r="AD52" s="501">
        <f t="shared" si="15"/>
        <v>0.03</v>
      </c>
      <c r="AE52" s="502">
        <f t="shared" si="15"/>
        <v>7.2150072150072159E-2</v>
      </c>
      <c r="AF52" s="493"/>
    </row>
    <row r="53" spans="1:32" customFormat="1">
      <c r="A53" s="451"/>
      <c r="B53" s="457" t="s">
        <v>635</v>
      </c>
      <c r="C53" s="485"/>
      <c r="D53" s="501">
        <f>D44/(1-D$35)</f>
        <v>3.0322580645161287E-2</v>
      </c>
      <c r="E53" s="501">
        <f t="shared" si="13"/>
        <v>0</v>
      </c>
      <c r="F53" s="501">
        <f>F44/(1-F$35)</f>
        <v>0</v>
      </c>
      <c r="G53" s="501">
        <f t="shared" si="13"/>
        <v>0</v>
      </c>
      <c r="H53" s="501">
        <f t="shared" si="13"/>
        <v>0</v>
      </c>
      <c r="I53" s="501">
        <f t="shared" si="13"/>
        <v>0</v>
      </c>
      <c r="J53" s="502">
        <f t="shared" si="13"/>
        <v>0</v>
      </c>
      <c r="K53" s="493"/>
      <c r="L53" s="455"/>
      <c r="M53" s="451"/>
      <c r="N53" s="485"/>
      <c r="O53" s="501">
        <f>O44/(1-O$35)</f>
        <v>3.0154639175257729E-2</v>
      </c>
      <c r="P53" s="501">
        <f t="shared" si="14"/>
        <v>0</v>
      </c>
      <c r="Q53" s="501">
        <f>Q44/(1-Q$35)</f>
        <v>0</v>
      </c>
      <c r="R53" s="501">
        <f t="shared" si="14"/>
        <v>0</v>
      </c>
      <c r="S53" s="501">
        <f t="shared" si="14"/>
        <v>0</v>
      </c>
      <c r="T53" s="501">
        <f t="shared" si="14"/>
        <v>0</v>
      </c>
      <c r="U53" s="502">
        <f t="shared" si="14"/>
        <v>0</v>
      </c>
      <c r="V53" s="493"/>
      <c r="W53" s="451"/>
      <c r="X53" s="485"/>
      <c r="Y53" s="501">
        <f>Y44/(1-Y$35)</f>
        <v>4.2589231699939507E-2</v>
      </c>
      <c r="Z53" s="501">
        <f t="shared" si="15"/>
        <v>0</v>
      </c>
      <c r="AA53" s="501">
        <f>AA44/(1-AA$35)</f>
        <v>0</v>
      </c>
      <c r="AB53" s="501">
        <f t="shared" si="15"/>
        <v>0</v>
      </c>
      <c r="AC53" s="501">
        <f t="shared" si="15"/>
        <v>0</v>
      </c>
      <c r="AD53" s="501">
        <f t="shared" si="15"/>
        <v>0</v>
      </c>
      <c r="AE53" s="502">
        <f t="shared" si="15"/>
        <v>0</v>
      </c>
      <c r="AF53" s="493"/>
    </row>
    <row r="54" spans="1:32" customFormat="1">
      <c r="A54" s="451"/>
      <c r="B54" s="457" t="s">
        <v>84</v>
      </c>
      <c r="C54" s="488"/>
      <c r="D54" s="503">
        <f>D45/(1-D$35)</f>
        <v>0</v>
      </c>
      <c r="E54" s="503">
        <f t="shared" si="13"/>
        <v>0.06</v>
      </c>
      <c r="F54" s="503">
        <f>F45/(1-F$35)</f>
        <v>0</v>
      </c>
      <c r="G54" s="503">
        <f t="shared" si="13"/>
        <v>0.01</v>
      </c>
      <c r="H54" s="503">
        <f t="shared" si="13"/>
        <v>0</v>
      </c>
      <c r="I54" s="503">
        <f t="shared" si="13"/>
        <v>0</v>
      </c>
      <c r="J54" s="504">
        <f t="shared" si="13"/>
        <v>0.06</v>
      </c>
      <c r="K54" s="493"/>
      <c r="L54" s="455"/>
      <c r="M54" s="451"/>
      <c r="N54" s="488"/>
      <c r="O54" s="503">
        <f>O45/(1-O$35)</f>
        <v>0</v>
      </c>
      <c r="P54" s="503">
        <f t="shared" si="14"/>
        <v>0</v>
      </c>
      <c r="Q54" s="503">
        <f>Q45/(1-Q$35)</f>
        <v>0</v>
      </c>
      <c r="R54" s="503">
        <f t="shared" si="14"/>
        <v>0</v>
      </c>
      <c r="S54" s="503">
        <f t="shared" si="14"/>
        <v>0.05</v>
      </c>
      <c r="T54" s="503">
        <f t="shared" si="14"/>
        <v>0.03</v>
      </c>
      <c r="U54" s="504">
        <f t="shared" si="14"/>
        <v>0</v>
      </c>
      <c r="V54" s="493"/>
      <c r="W54" s="451"/>
      <c r="X54" s="488"/>
      <c r="Y54" s="503">
        <f>Y45/(1-Y$35)</f>
        <v>0.15970961887477314</v>
      </c>
      <c r="Z54" s="503">
        <f t="shared" si="15"/>
        <v>0</v>
      </c>
      <c r="AA54" s="503">
        <f>AA45/(1-AA$35)</f>
        <v>3.0303030303030304E-2</v>
      </c>
      <c r="AB54" s="503">
        <f t="shared" si="15"/>
        <v>0</v>
      </c>
      <c r="AC54" s="503">
        <f t="shared" si="15"/>
        <v>0</v>
      </c>
      <c r="AD54" s="503">
        <f t="shared" si="15"/>
        <v>0</v>
      </c>
      <c r="AE54" s="504">
        <f t="shared" si="15"/>
        <v>0</v>
      </c>
      <c r="AF54" s="493"/>
    </row>
    <row r="55" spans="1:32" customFormat="1">
      <c r="A55" s="451"/>
      <c r="B55" s="498" t="s">
        <v>636</v>
      </c>
      <c r="C55" s="498"/>
      <c r="D55" s="498" t="b">
        <f>SUM(D48:D54)=1</f>
        <v>1</v>
      </c>
      <c r="E55" s="498" t="b">
        <f t="shared" ref="E55:J55" si="16">SUM(E48:E54)=1</f>
        <v>1</v>
      </c>
      <c r="F55" s="498" t="b">
        <f t="shared" si="16"/>
        <v>1</v>
      </c>
      <c r="G55" s="498" t="b">
        <f t="shared" si="16"/>
        <v>1</v>
      </c>
      <c r="H55" s="498" t="b">
        <f t="shared" si="16"/>
        <v>1</v>
      </c>
      <c r="I55" s="498" t="b">
        <f t="shared" si="16"/>
        <v>1</v>
      </c>
      <c r="J55" s="498" t="b">
        <f t="shared" si="16"/>
        <v>1</v>
      </c>
      <c r="K55" s="493"/>
      <c r="L55" s="455"/>
      <c r="M55" s="451"/>
      <c r="N55" s="498"/>
      <c r="O55" s="498" t="b">
        <f>SUM(O48:O54)=1</f>
        <v>1</v>
      </c>
      <c r="P55" s="498" t="b">
        <f t="shared" ref="P55:U55" si="17">SUM(P48:P54)=1</f>
        <v>1</v>
      </c>
      <c r="Q55" s="498" t="b">
        <f t="shared" si="17"/>
        <v>1</v>
      </c>
      <c r="R55" s="498" t="b">
        <f t="shared" si="17"/>
        <v>1</v>
      </c>
      <c r="S55" s="498" t="b">
        <f t="shared" si="17"/>
        <v>1</v>
      </c>
      <c r="T55" s="498" t="b">
        <f t="shared" si="17"/>
        <v>1</v>
      </c>
      <c r="U55" s="498" t="b">
        <f t="shared" si="17"/>
        <v>1</v>
      </c>
      <c r="V55" s="493"/>
      <c r="W55" s="451"/>
      <c r="X55" s="498"/>
      <c r="Y55" s="498" t="b">
        <f>SUM(Y48:Y54)=1</f>
        <v>0</v>
      </c>
      <c r="Z55" s="498" t="b">
        <f t="shared" ref="Z55:AD55" si="18">SUM(Z48:Z54)=1</f>
        <v>0</v>
      </c>
      <c r="AA55" s="498" t="b">
        <f t="shared" si="18"/>
        <v>1</v>
      </c>
      <c r="AB55" s="498" t="b">
        <f t="shared" si="18"/>
        <v>1</v>
      </c>
      <c r="AC55" s="498" t="b">
        <f t="shared" si="18"/>
        <v>1</v>
      </c>
      <c r="AD55" s="498" t="b">
        <f t="shared" si="18"/>
        <v>1</v>
      </c>
      <c r="AE55" s="498" t="b">
        <f>SUM(AE48:AE54)=1</f>
        <v>0</v>
      </c>
      <c r="AF55" s="493"/>
    </row>
    <row r="56" spans="1:32" customFormat="1">
      <c r="A56" s="451"/>
      <c r="B56" s="686" t="s">
        <v>638</v>
      </c>
      <c r="C56" s="455"/>
      <c r="D56" s="455"/>
      <c r="E56" s="455"/>
      <c r="F56" s="455"/>
      <c r="G56" s="455"/>
      <c r="H56" s="455"/>
      <c r="I56" s="455"/>
      <c r="J56" s="455"/>
      <c r="K56" s="455"/>
      <c r="L56" s="455"/>
      <c r="M56" s="451"/>
      <c r="N56" s="455"/>
      <c r="O56" s="455"/>
      <c r="P56" s="455"/>
      <c r="Q56" s="455"/>
      <c r="R56" s="455"/>
      <c r="S56" s="455"/>
      <c r="T56" s="455"/>
      <c r="U56" s="455"/>
      <c r="V56" s="455"/>
      <c r="W56" s="451"/>
      <c r="X56" s="455"/>
      <c r="Y56" s="455"/>
      <c r="Z56" s="455"/>
      <c r="AA56" s="455"/>
      <c r="AB56" s="455"/>
      <c r="AC56" s="455"/>
      <c r="AD56" s="455"/>
      <c r="AE56" s="455"/>
      <c r="AF56" s="455"/>
    </row>
    <row r="57" spans="1:32" customFormat="1">
      <c r="A57" s="451"/>
      <c r="B57" s="457" t="s">
        <v>630</v>
      </c>
      <c r="C57" s="491"/>
      <c r="D57" s="505">
        <f>D48*D$37</f>
        <v>4363.4947803084051</v>
      </c>
      <c r="E57" s="505">
        <f t="shared" ref="E57:J57" si="19">E48*E$37</f>
        <v>2847.703326657766</v>
      </c>
      <c r="F57" s="505">
        <f t="shared" si="19"/>
        <v>0</v>
      </c>
      <c r="G57" s="505">
        <f t="shared" si="19"/>
        <v>0</v>
      </c>
      <c r="H57" s="505">
        <f t="shared" si="19"/>
        <v>0</v>
      </c>
      <c r="I57" s="505">
        <f t="shared" si="19"/>
        <v>25616.666666666664</v>
      </c>
      <c r="J57" s="506">
        <f t="shared" si="19"/>
        <v>30188.963340008904</v>
      </c>
      <c r="K57" s="493"/>
      <c r="L57" s="455"/>
      <c r="M57" s="451"/>
      <c r="N57" s="491"/>
      <c r="O57" s="505">
        <f>O48*O$37</f>
        <v>7859.2849285924322</v>
      </c>
      <c r="P57" s="505">
        <f t="shared" ref="P57:U57" si="20">P48*P$37</f>
        <v>1629.2312255446043</v>
      </c>
      <c r="Q57" s="505">
        <f t="shared" si="20"/>
        <v>0</v>
      </c>
      <c r="R57" s="505">
        <f t="shared" si="20"/>
        <v>0</v>
      </c>
      <c r="S57" s="505">
        <f t="shared" si="20"/>
        <v>738.09523809523819</v>
      </c>
      <c r="T57" s="505">
        <f t="shared" si="20"/>
        <v>102742.85714285714</v>
      </c>
      <c r="U57" s="506">
        <f t="shared" si="20"/>
        <v>16970.768774455399</v>
      </c>
      <c r="V57" s="493"/>
      <c r="W57" s="451"/>
      <c r="X57" s="491"/>
      <c r="Y57" s="505">
        <f>Y48*Y$37</f>
        <v>0</v>
      </c>
      <c r="Z57" s="505">
        <f t="shared" ref="Z57:AE58" si="21">Z48*Z$37</f>
        <v>1277.6599527591757</v>
      </c>
      <c r="AA57" s="505">
        <f t="shared" si="21"/>
        <v>0</v>
      </c>
      <c r="AB57" s="505">
        <f t="shared" si="21"/>
        <v>0</v>
      </c>
      <c r="AC57" s="505">
        <f t="shared" si="21"/>
        <v>314.31714600031438</v>
      </c>
      <c r="AD57" s="505">
        <f t="shared" si="21"/>
        <v>299206.34920634923</v>
      </c>
      <c r="AE57" s="506">
        <f t="shared" si="21"/>
        <v>13152.354477255258</v>
      </c>
      <c r="AF57" s="493"/>
    </row>
    <row r="58" spans="1:32" customFormat="1">
      <c r="A58" s="451"/>
      <c r="B58" s="457" t="s">
        <v>631</v>
      </c>
      <c r="C58" s="485"/>
      <c r="D58" s="486">
        <f t="shared" ref="D58:J63" si="22">D49*D$37</f>
        <v>209447.74945480342</v>
      </c>
      <c r="E58" s="486">
        <f t="shared" si="22"/>
        <v>9883.2056631063642</v>
      </c>
      <c r="F58" s="486">
        <f t="shared" si="22"/>
        <v>305456.66666666669</v>
      </c>
      <c r="G58" s="486">
        <f t="shared" si="22"/>
        <v>225073.33333333334</v>
      </c>
      <c r="H58" s="486">
        <f t="shared" si="22"/>
        <v>0</v>
      </c>
      <c r="I58" s="486">
        <f t="shared" si="22"/>
        <v>312523.33333333326</v>
      </c>
      <c r="J58" s="507">
        <f t="shared" si="22"/>
        <v>104773.4610035603</v>
      </c>
      <c r="K58" s="508"/>
      <c r="L58" s="455"/>
      <c r="M58" s="451"/>
      <c r="N58" s="485"/>
      <c r="O58" s="486">
        <f t="shared" ref="O58:U60" si="23">O49*O$37</f>
        <v>271145.33003643889</v>
      </c>
      <c r="P58" s="486">
        <f t="shared" si="23"/>
        <v>7331.5405149507187</v>
      </c>
      <c r="Q58" s="486">
        <f t="shared" si="23"/>
        <v>289333.33333333337</v>
      </c>
      <c r="R58" s="486">
        <f t="shared" si="23"/>
        <v>132857.14285714287</v>
      </c>
      <c r="S58" s="486">
        <f t="shared" si="23"/>
        <v>68642.857142857159</v>
      </c>
      <c r="T58" s="486">
        <f t="shared" si="23"/>
        <v>94180.952380952382</v>
      </c>
      <c r="U58" s="507">
        <f t="shared" si="23"/>
        <v>76368.459485049287</v>
      </c>
      <c r="V58" s="508"/>
      <c r="W58" s="451"/>
      <c r="X58" s="485"/>
      <c r="Y58" s="486">
        <f>Y49*Y$37</f>
        <v>230372.96398930447</v>
      </c>
      <c r="Z58" s="486">
        <f t="shared" si="21"/>
        <v>9199.1516598660637</v>
      </c>
      <c r="AA58" s="486">
        <f t="shared" si="21"/>
        <v>299663.29966329969</v>
      </c>
      <c r="AB58" s="486">
        <f t="shared" si="21"/>
        <v>142857.14285714287</v>
      </c>
      <c r="AC58" s="486">
        <f t="shared" si="21"/>
        <v>13829.954424013831</v>
      </c>
      <c r="AD58" s="486">
        <f t="shared" si="21"/>
        <v>142698.41269841272</v>
      </c>
      <c r="AE58" s="507">
        <f t="shared" si="21"/>
        <v>94696.952236237848</v>
      </c>
      <c r="AF58" s="508"/>
    </row>
    <row r="59" spans="1:32" customFormat="1">
      <c r="A59" s="451"/>
      <c r="B59" s="457" t="s">
        <v>632</v>
      </c>
      <c r="C59" s="485"/>
      <c r="D59" s="486">
        <f t="shared" si="22"/>
        <v>95996.885166784909</v>
      </c>
      <c r="E59" s="486">
        <f t="shared" si="22"/>
        <v>0</v>
      </c>
      <c r="F59" s="486">
        <f t="shared" si="22"/>
        <v>0</v>
      </c>
      <c r="G59" s="486">
        <f t="shared" si="22"/>
        <v>0</v>
      </c>
      <c r="H59" s="486">
        <f t="shared" si="22"/>
        <v>0</v>
      </c>
      <c r="I59" s="486">
        <f t="shared" si="22"/>
        <v>158823.33333333331</v>
      </c>
      <c r="J59" s="507">
        <f t="shared" si="22"/>
        <v>0</v>
      </c>
      <c r="K59" s="493"/>
      <c r="L59" s="455"/>
      <c r="M59" s="451"/>
      <c r="N59" s="485"/>
      <c r="O59" s="486">
        <f t="shared" si="23"/>
        <v>15718.569857184864</v>
      </c>
      <c r="P59" s="486">
        <f t="shared" si="23"/>
        <v>0</v>
      </c>
      <c r="Q59" s="486">
        <f t="shared" si="23"/>
        <v>0</v>
      </c>
      <c r="R59" s="486">
        <f t="shared" si="23"/>
        <v>0</v>
      </c>
      <c r="S59" s="486">
        <f t="shared" si="23"/>
        <v>0</v>
      </c>
      <c r="T59" s="486">
        <f t="shared" si="23"/>
        <v>209766.66666666666</v>
      </c>
      <c r="U59" s="507">
        <f t="shared" si="23"/>
        <v>0</v>
      </c>
      <c r="V59" s="493"/>
      <c r="W59" s="451"/>
      <c r="X59" s="485"/>
      <c r="Y59" s="486">
        <f t="shared" ref="Y59:AE60" si="24">Y50*Y$37</f>
        <v>41467.133518074814</v>
      </c>
      <c r="Z59" s="486">
        <f t="shared" si="24"/>
        <v>0</v>
      </c>
      <c r="AA59" s="486">
        <f t="shared" si="24"/>
        <v>10101.010101010103</v>
      </c>
      <c r="AB59" s="486">
        <f t="shared" si="24"/>
        <v>0</v>
      </c>
      <c r="AC59" s="486">
        <f t="shared" si="24"/>
        <v>0</v>
      </c>
      <c r="AD59" s="486">
        <f t="shared" si="24"/>
        <v>4603.1746031746034</v>
      </c>
      <c r="AE59" s="507">
        <f t="shared" si="24"/>
        <v>0</v>
      </c>
      <c r="AF59" s="493"/>
    </row>
    <row r="60" spans="1:32" customFormat="1">
      <c r="A60" s="451"/>
      <c r="B60" s="457" t="s">
        <v>633</v>
      </c>
      <c r="C60" s="485"/>
      <c r="D60" s="486">
        <f>D51*D$37</f>
        <v>34629.437299043297</v>
      </c>
      <c r="E60" s="486">
        <f t="shared" si="22"/>
        <v>2010.1435246995995</v>
      </c>
      <c r="F60" s="486">
        <f t="shared" si="22"/>
        <v>0</v>
      </c>
      <c r="G60" s="486">
        <f t="shared" si="22"/>
        <v>0</v>
      </c>
      <c r="H60" s="486">
        <f t="shared" si="22"/>
        <v>353.33333333333337</v>
      </c>
      <c r="I60" s="486">
        <f t="shared" si="22"/>
        <v>0</v>
      </c>
      <c r="J60" s="507">
        <f t="shared" si="22"/>
        <v>21309.856475300399</v>
      </c>
      <c r="K60" s="493"/>
      <c r="L60" s="455"/>
      <c r="M60" s="509"/>
      <c r="N60" s="485"/>
      <c r="O60" s="486">
        <f>O51*O$37</f>
        <v>5844.083664850783</v>
      </c>
      <c r="P60" s="486">
        <f t="shared" si="23"/>
        <v>1047.3629307072456</v>
      </c>
      <c r="Q60" s="486">
        <f t="shared" si="23"/>
        <v>5904.7619047619055</v>
      </c>
      <c r="R60" s="486">
        <f t="shared" si="23"/>
        <v>0</v>
      </c>
      <c r="S60" s="486">
        <f t="shared" si="23"/>
        <v>738.09523809523819</v>
      </c>
      <c r="T60" s="486">
        <f t="shared" si="23"/>
        <v>0</v>
      </c>
      <c r="U60" s="507">
        <f t="shared" si="23"/>
        <v>10909.779926435613</v>
      </c>
      <c r="V60" s="493"/>
      <c r="W60" s="509"/>
      <c r="X60" s="485"/>
      <c r="Y60" s="486">
        <f>Y51*Y$37</f>
        <v>4240.9568370758334</v>
      </c>
      <c r="Z60" s="486">
        <f t="shared" si="24"/>
        <v>1277.6599527591757</v>
      </c>
      <c r="AA60" s="486">
        <f t="shared" si="24"/>
        <v>13468.013468013471</v>
      </c>
      <c r="AB60" s="486">
        <f t="shared" si="24"/>
        <v>0</v>
      </c>
      <c r="AC60" s="486">
        <f t="shared" si="24"/>
        <v>15401.540154015403</v>
      </c>
      <c r="AD60" s="486">
        <f t="shared" si="24"/>
        <v>0</v>
      </c>
      <c r="AE60" s="507">
        <f t="shared" si="24"/>
        <v>13152.354477255258</v>
      </c>
      <c r="AF60" s="493"/>
    </row>
    <row r="61" spans="1:32" customFormat="1">
      <c r="A61" s="451"/>
      <c r="B61" s="457" t="s">
        <v>634</v>
      </c>
      <c r="C61" s="485"/>
      <c r="D61" s="486">
        <f t="shared" si="22"/>
        <v>74179.411265242888</v>
      </c>
      <c r="E61" s="486">
        <f t="shared" si="22"/>
        <v>1005.0717623497998</v>
      </c>
      <c r="F61" s="486">
        <f t="shared" si="22"/>
        <v>26853.333333333336</v>
      </c>
      <c r="G61" s="486">
        <f t="shared" si="22"/>
        <v>2296.666666666667</v>
      </c>
      <c r="H61" s="486">
        <f t="shared" si="22"/>
        <v>34980</v>
      </c>
      <c r="I61" s="486">
        <f t="shared" si="22"/>
        <v>15369.999999999996</v>
      </c>
      <c r="J61" s="507">
        <f t="shared" si="22"/>
        <v>10654.9282376502</v>
      </c>
      <c r="K61" s="493"/>
      <c r="L61" s="455"/>
      <c r="M61" s="451"/>
      <c r="N61" s="485"/>
      <c r="O61" s="486">
        <f t="shared" ref="O61:U63" si="25">O52*O$37</f>
        <v>78592.849285924327</v>
      </c>
      <c r="P61" s="486">
        <f t="shared" si="25"/>
        <v>1629.2312255446043</v>
      </c>
      <c r="Q61" s="486">
        <f t="shared" si="25"/>
        <v>0</v>
      </c>
      <c r="R61" s="486">
        <f t="shared" si="25"/>
        <v>0</v>
      </c>
      <c r="S61" s="486">
        <f t="shared" si="25"/>
        <v>0</v>
      </c>
      <c r="T61" s="486">
        <f t="shared" si="25"/>
        <v>8561.9047619047615</v>
      </c>
      <c r="U61" s="507">
        <f t="shared" si="25"/>
        <v>16970.768774455399</v>
      </c>
      <c r="V61" s="493"/>
      <c r="W61" s="451"/>
      <c r="X61" s="485"/>
      <c r="Y61" s="486">
        <f t="shared" ref="Y61:AE63" si="26">Y52*Y$37</f>
        <v>73719.348476577448</v>
      </c>
      <c r="Z61" s="486">
        <f t="shared" si="26"/>
        <v>894.3619669314229</v>
      </c>
      <c r="AA61" s="486">
        <f t="shared" si="26"/>
        <v>0</v>
      </c>
      <c r="AB61" s="486">
        <f t="shared" si="26"/>
        <v>0</v>
      </c>
      <c r="AC61" s="486">
        <f t="shared" si="26"/>
        <v>2200.2200220022005</v>
      </c>
      <c r="AD61" s="486">
        <f t="shared" si="26"/>
        <v>13809.523809523811</v>
      </c>
      <c r="AE61" s="507">
        <f t="shared" si="26"/>
        <v>9206.6481340786795</v>
      </c>
      <c r="AF61" s="493"/>
    </row>
    <row r="62" spans="1:32" customFormat="1">
      <c r="A62" s="451"/>
      <c r="B62" s="457" t="s">
        <v>635</v>
      </c>
      <c r="C62" s="485"/>
      <c r="D62" s="486">
        <f t="shared" si="22"/>
        <v>13090.484340925213</v>
      </c>
      <c r="E62" s="486">
        <f t="shared" si="22"/>
        <v>0</v>
      </c>
      <c r="F62" s="486">
        <f t="shared" si="22"/>
        <v>0</v>
      </c>
      <c r="G62" s="486">
        <f t="shared" si="22"/>
        <v>0</v>
      </c>
      <c r="H62" s="486">
        <f t="shared" si="22"/>
        <v>0</v>
      </c>
      <c r="I62" s="486">
        <f t="shared" si="22"/>
        <v>0</v>
      </c>
      <c r="J62" s="507">
        <f t="shared" si="22"/>
        <v>0</v>
      </c>
      <c r="K62" s="493"/>
      <c r="L62" s="455"/>
      <c r="M62" s="451"/>
      <c r="N62" s="485"/>
      <c r="O62" s="486">
        <f t="shared" si="25"/>
        <v>11788.927392888647</v>
      </c>
      <c r="P62" s="486">
        <f t="shared" si="25"/>
        <v>0</v>
      </c>
      <c r="Q62" s="486">
        <f t="shared" si="25"/>
        <v>0</v>
      </c>
      <c r="R62" s="486">
        <f t="shared" si="25"/>
        <v>0</v>
      </c>
      <c r="S62" s="486">
        <f t="shared" si="25"/>
        <v>0</v>
      </c>
      <c r="T62" s="486">
        <f t="shared" si="25"/>
        <v>0</v>
      </c>
      <c r="U62" s="507">
        <f t="shared" si="25"/>
        <v>0</v>
      </c>
      <c r="V62" s="493"/>
      <c r="W62" s="451"/>
      <c r="X62" s="485"/>
      <c r="Y62" s="486">
        <f t="shared" si="26"/>
        <v>18429.837119144362</v>
      </c>
      <c r="Z62" s="486">
        <f t="shared" si="26"/>
        <v>0</v>
      </c>
      <c r="AA62" s="486">
        <f t="shared" si="26"/>
        <v>0</v>
      </c>
      <c r="AB62" s="486">
        <f t="shared" si="26"/>
        <v>0</v>
      </c>
      <c r="AC62" s="486">
        <f t="shared" si="26"/>
        <v>0</v>
      </c>
      <c r="AD62" s="486">
        <f t="shared" si="26"/>
        <v>0</v>
      </c>
      <c r="AE62" s="507">
        <f t="shared" si="26"/>
        <v>0</v>
      </c>
      <c r="AF62" s="493"/>
    </row>
    <row r="63" spans="1:32" customFormat="1">
      <c r="A63" s="451"/>
      <c r="B63" s="457" t="s">
        <v>84</v>
      </c>
      <c r="C63" s="488"/>
      <c r="D63" s="471">
        <f t="shared" si="22"/>
        <v>0</v>
      </c>
      <c r="E63" s="471">
        <f t="shared" si="22"/>
        <v>1005.0717623497998</v>
      </c>
      <c r="F63" s="471">
        <f t="shared" si="22"/>
        <v>0</v>
      </c>
      <c r="G63" s="471">
        <f t="shared" si="22"/>
        <v>2296.666666666667</v>
      </c>
      <c r="H63" s="471">
        <f t="shared" si="22"/>
        <v>0</v>
      </c>
      <c r="I63" s="471">
        <f t="shared" si="22"/>
        <v>0</v>
      </c>
      <c r="J63" s="472">
        <f t="shared" si="22"/>
        <v>10654.9282376502</v>
      </c>
      <c r="K63" s="493"/>
      <c r="L63" s="455"/>
      <c r="M63" s="451"/>
      <c r="N63" s="488"/>
      <c r="O63" s="471">
        <f t="shared" si="25"/>
        <v>0</v>
      </c>
      <c r="P63" s="471">
        <f t="shared" si="25"/>
        <v>0</v>
      </c>
      <c r="Q63" s="471">
        <f t="shared" si="25"/>
        <v>0</v>
      </c>
      <c r="R63" s="471">
        <f t="shared" si="25"/>
        <v>0</v>
      </c>
      <c r="S63" s="471">
        <f t="shared" si="25"/>
        <v>3690.4761904761908</v>
      </c>
      <c r="T63" s="471">
        <f t="shared" si="25"/>
        <v>12842.857142857143</v>
      </c>
      <c r="U63" s="472">
        <f t="shared" si="25"/>
        <v>0</v>
      </c>
      <c r="V63" s="493"/>
      <c r="W63" s="451"/>
      <c r="X63" s="488"/>
      <c r="Y63" s="471">
        <f t="shared" si="26"/>
        <v>69111.889196791351</v>
      </c>
      <c r="Z63" s="471">
        <f t="shared" si="26"/>
        <v>0</v>
      </c>
      <c r="AA63" s="471">
        <f t="shared" si="26"/>
        <v>10101.010101010103</v>
      </c>
      <c r="AB63" s="471">
        <f t="shared" si="26"/>
        <v>0</v>
      </c>
      <c r="AC63" s="471">
        <f t="shared" si="26"/>
        <v>0</v>
      </c>
      <c r="AD63" s="471">
        <f t="shared" si="26"/>
        <v>0</v>
      </c>
      <c r="AE63" s="472">
        <f t="shared" si="26"/>
        <v>0</v>
      </c>
      <c r="AF63" s="493"/>
    </row>
    <row r="64" spans="1:32" customFormat="1">
      <c r="A64" s="451"/>
      <c r="B64" s="498" t="s">
        <v>636</v>
      </c>
      <c r="C64" s="498"/>
      <c r="D64" s="498" t="b">
        <f>SUM(D57:D63)=D37</f>
        <v>1</v>
      </c>
      <c r="E64" s="498" t="b">
        <f t="shared" ref="E64:J64" si="27">SUM(E57:E63)=E37</f>
        <v>1</v>
      </c>
      <c r="F64" s="498" t="b">
        <f t="shared" si="27"/>
        <v>1</v>
      </c>
      <c r="G64" s="498" t="b">
        <f t="shared" si="27"/>
        <v>1</v>
      </c>
      <c r="H64" s="498" t="b">
        <f t="shared" si="27"/>
        <v>1</v>
      </c>
      <c r="I64" s="498" t="b">
        <f t="shared" si="27"/>
        <v>1</v>
      </c>
      <c r="J64" s="498" t="b">
        <f t="shared" si="27"/>
        <v>1</v>
      </c>
      <c r="K64" s="493"/>
      <c r="L64" s="455"/>
      <c r="M64" s="451"/>
      <c r="N64" s="498"/>
      <c r="O64" s="498" t="b">
        <f>SUM(O57:O63)=O37</f>
        <v>1</v>
      </c>
      <c r="P64" s="498" t="b">
        <f t="shared" ref="P64" si="28">SUM(P57:P63)=P37</f>
        <v>1</v>
      </c>
      <c r="Q64" s="498" t="b">
        <f t="shared" ref="Q64" si="29">SUM(Q57:Q63)=Q37</f>
        <v>1</v>
      </c>
      <c r="R64" s="498" t="b">
        <f t="shared" ref="R64:U64" si="30">SUM(R57:R63)=R37</f>
        <v>1</v>
      </c>
      <c r="S64" s="498" t="b">
        <f t="shared" si="30"/>
        <v>1</v>
      </c>
      <c r="T64" s="498" t="b">
        <f t="shared" si="30"/>
        <v>1</v>
      </c>
      <c r="U64" s="498" t="b">
        <f t="shared" si="30"/>
        <v>1</v>
      </c>
      <c r="V64" s="493"/>
      <c r="W64" s="451"/>
      <c r="X64" s="498"/>
      <c r="Y64" s="498" t="b">
        <f>SUM(Y57:Y63)=Y37</f>
        <v>0</v>
      </c>
      <c r="Z64" s="498" t="b">
        <f t="shared" ref="Z64" si="31">SUM(Z57:Z63)=Z37</f>
        <v>0</v>
      </c>
      <c r="AA64" s="498" t="b">
        <f t="shared" ref="AA64" si="32">SUM(AA57:AA63)=AA37</f>
        <v>1</v>
      </c>
      <c r="AB64" s="498" t="b">
        <f t="shared" ref="AB64:AD64" si="33">SUM(AB57:AB63)=AB37</f>
        <v>1</v>
      </c>
      <c r="AC64" s="498" t="b">
        <f t="shared" si="33"/>
        <v>1</v>
      </c>
      <c r="AD64" s="498" t="b">
        <f t="shared" si="33"/>
        <v>1</v>
      </c>
      <c r="AE64" s="498">
        <f>SUM(AE57:AE63)</f>
        <v>130208.30932482705</v>
      </c>
      <c r="AF64" s="493"/>
    </row>
    <row r="65" spans="1:32" customFormat="1">
      <c r="A65" s="451"/>
      <c r="B65" s="686" t="s">
        <v>639</v>
      </c>
      <c r="C65" s="455"/>
      <c r="D65" s="455"/>
      <c r="E65" s="455"/>
      <c r="F65" s="455"/>
      <c r="G65" s="455"/>
      <c r="H65" s="455"/>
      <c r="I65" s="455"/>
      <c r="J65" s="455"/>
      <c r="K65" s="493"/>
      <c r="L65" s="455"/>
      <c r="M65" s="451"/>
      <c r="N65" s="455"/>
      <c r="O65" s="455"/>
      <c r="P65" s="455"/>
      <c r="Q65" s="455"/>
      <c r="R65" s="455"/>
      <c r="S65" s="455"/>
      <c r="T65" s="455"/>
      <c r="U65" s="455"/>
      <c r="V65" s="493"/>
      <c r="W65" s="451"/>
      <c r="X65" s="455"/>
      <c r="Y65" s="455"/>
      <c r="Z65" s="455"/>
      <c r="AA65" s="455"/>
      <c r="AB65" s="455"/>
      <c r="AC65" s="455"/>
      <c r="AD65" s="455"/>
      <c r="AE65" s="455"/>
      <c r="AF65" s="493"/>
    </row>
    <row r="66" spans="1:32" customFormat="1">
      <c r="A66" s="451"/>
      <c r="B66" s="457" t="s">
        <v>633</v>
      </c>
      <c r="C66" s="491"/>
      <c r="D66" s="505">
        <f>D60</f>
        <v>34629.437299043297</v>
      </c>
      <c r="E66" s="505">
        <f>E60</f>
        <v>2010.1435246995995</v>
      </c>
      <c r="F66" s="505">
        <f t="shared" ref="F66:J66" si="34">F60</f>
        <v>0</v>
      </c>
      <c r="G66" s="505">
        <f t="shared" si="34"/>
        <v>0</v>
      </c>
      <c r="H66" s="505">
        <f t="shared" si="34"/>
        <v>353.33333333333337</v>
      </c>
      <c r="I66" s="505">
        <f t="shared" si="34"/>
        <v>0</v>
      </c>
      <c r="J66" s="505">
        <f t="shared" si="34"/>
        <v>21309.856475300399</v>
      </c>
      <c r="K66" s="510">
        <f>SUM(D66:J66)</f>
        <v>58302.770632376632</v>
      </c>
      <c r="L66" s="455"/>
      <c r="M66" s="451"/>
      <c r="N66" s="511"/>
      <c r="O66" s="512">
        <f>O60</f>
        <v>5844.083664850783</v>
      </c>
      <c r="P66" s="512">
        <f>P60</f>
        <v>1047.3629307072456</v>
      </c>
      <c r="Q66" s="512">
        <f t="shared" ref="Q66:U66" si="35">Q60</f>
        <v>5904.7619047619055</v>
      </c>
      <c r="R66" s="512">
        <f t="shared" si="35"/>
        <v>0</v>
      </c>
      <c r="S66" s="512">
        <f t="shared" si="35"/>
        <v>738.09523809523819</v>
      </c>
      <c r="T66" s="512">
        <f t="shared" si="35"/>
        <v>0</v>
      </c>
      <c r="U66" s="512">
        <f t="shared" si="35"/>
        <v>10909.779926435613</v>
      </c>
      <c r="V66" s="513">
        <f>SUM(O66:U66)</f>
        <v>24444.083664850787</v>
      </c>
      <c r="W66" s="451"/>
      <c r="X66" s="511"/>
      <c r="Y66" s="512">
        <f>Y60*Y$37/SUM(Y$57:Y$63)</f>
        <v>4196.2777754617218</v>
      </c>
      <c r="Z66" s="512">
        <f>Z60*Z$37/SUM(Z$57:Z$63)</f>
        <v>1252.1067537039921</v>
      </c>
      <c r="AA66" s="512">
        <f t="shared" ref="AA66:AD66" si="36">AA60</f>
        <v>13468.013468013471</v>
      </c>
      <c r="AB66" s="512">
        <f t="shared" si="36"/>
        <v>0</v>
      </c>
      <c r="AC66" s="512">
        <f t="shared" si="36"/>
        <v>15401.540154015403</v>
      </c>
      <c r="AD66" s="512">
        <f t="shared" si="36"/>
        <v>0</v>
      </c>
      <c r="AE66" s="512">
        <f>AE60*AE$37/SUM(AE$57:AE$63)</f>
        <v>12889.307387710151</v>
      </c>
      <c r="AF66" s="513">
        <f>SUM(Y66:AE66)</f>
        <v>47207.245538904739</v>
      </c>
    </row>
    <row r="67" spans="1:32" customFormat="1">
      <c r="A67" s="451"/>
      <c r="B67" s="457" t="s">
        <v>640</v>
      </c>
      <c r="C67" s="485"/>
      <c r="D67" s="486">
        <f>SUM(D58:D59,D61)</f>
        <v>379624.04588683124</v>
      </c>
      <c r="E67" s="486">
        <f t="shared" ref="E67:J67" si="37">SUM(E58:E59,E61)</f>
        <v>10888.277425456165</v>
      </c>
      <c r="F67" s="486">
        <f t="shared" si="37"/>
        <v>332310</v>
      </c>
      <c r="G67" s="486">
        <f t="shared" si="37"/>
        <v>227370</v>
      </c>
      <c r="H67" s="486">
        <f t="shared" si="37"/>
        <v>34980</v>
      </c>
      <c r="I67" s="486">
        <f t="shared" si="37"/>
        <v>486716.66666666657</v>
      </c>
      <c r="J67" s="486">
        <f t="shared" si="37"/>
        <v>115428.38924121049</v>
      </c>
      <c r="K67" s="514">
        <f t="shared" ref="K67:K69" si="38">SUM(D67:J67)</f>
        <v>1587317.3792201644</v>
      </c>
      <c r="L67" s="455"/>
      <c r="M67" s="451"/>
      <c r="N67" s="515"/>
      <c r="O67" s="486">
        <f>SUM(O58:O59,O61)</f>
        <v>365456.74917954812</v>
      </c>
      <c r="P67" s="486">
        <f t="shared" ref="P67:U67" si="39">SUM(P58:P59,P61)</f>
        <v>8960.7717404953237</v>
      </c>
      <c r="Q67" s="486">
        <f t="shared" si="39"/>
        <v>289333.33333333337</v>
      </c>
      <c r="R67" s="486">
        <f t="shared" si="39"/>
        <v>132857.14285714287</v>
      </c>
      <c r="S67" s="486">
        <f t="shared" si="39"/>
        <v>68642.857142857159</v>
      </c>
      <c r="T67" s="486">
        <f t="shared" si="39"/>
        <v>312509.52380952379</v>
      </c>
      <c r="U67" s="486">
        <f t="shared" si="39"/>
        <v>93339.228259504685</v>
      </c>
      <c r="V67" s="516">
        <f t="shared" ref="V67:V69" si="40">SUM(O67:U67)</f>
        <v>1271099.6063224054</v>
      </c>
      <c r="W67" s="451"/>
      <c r="X67" s="515"/>
      <c r="Y67" s="486">
        <f>SUM(Y58:Y59,Y61)*Y$37/SUM(Y$57:Y$63)</f>
        <v>341918.92985243653</v>
      </c>
      <c r="Z67" s="486">
        <f>SUM(Z58:Z59,Z61)*Z$37/SUM(Z$57:Z$63)</f>
        <v>9891.6433542615359</v>
      </c>
      <c r="AA67" s="486">
        <f t="shared" ref="AA67:AD67" si="41">SUM(AA58:AA59,AA61)</f>
        <v>309764.30976430979</v>
      </c>
      <c r="AB67" s="486">
        <f t="shared" si="41"/>
        <v>142857.14285714287</v>
      </c>
      <c r="AC67" s="486">
        <f t="shared" si="41"/>
        <v>16030.174446016032</v>
      </c>
      <c r="AD67" s="486">
        <f t="shared" si="41"/>
        <v>161111.11111111115</v>
      </c>
      <c r="AE67" s="486">
        <f>SUM(AE58:AE59,AE61)*AE$37/SUM(AE$57:AE$63)</f>
        <v>101825.52836291019</v>
      </c>
      <c r="AF67" s="516">
        <f t="shared" ref="AF67:AF69" si="42">SUM(Y67:AE67)</f>
        <v>1083398.8397481882</v>
      </c>
    </row>
    <row r="68" spans="1:32" customFormat="1">
      <c r="A68" s="451"/>
      <c r="B68" s="457" t="s">
        <v>641</v>
      </c>
      <c r="C68" s="485"/>
      <c r="D68" s="486">
        <v>0</v>
      </c>
      <c r="E68" s="486">
        <v>0</v>
      </c>
      <c r="F68" s="486">
        <v>0</v>
      </c>
      <c r="G68" s="486">
        <v>0</v>
      </c>
      <c r="H68" s="486">
        <v>0</v>
      </c>
      <c r="I68" s="486">
        <v>0</v>
      </c>
      <c r="J68" s="486">
        <v>0</v>
      </c>
      <c r="K68" s="514">
        <f t="shared" si="38"/>
        <v>0</v>
      </c>
      <c r="L68" s="455"/>
      <c r="M68" s="451"/>
      <c r="N68" s="515"/>
      <c r="O68" s="486">
        <v>0</v>
      </c>
      <c r="P68" s="486">
        <v>0</v>
      </c>
      <c r="Q68" s="486">
        <v>0</v>
      </c>
      <c r="R68" s="486">
        <v>0</v>
      </c>
      <c r="S68" s="486">
        <v>0</v>
      </c>
      <c r="T68" s="486">
        <v>0</v>
      </c>
      <c r="U68" s="486">
        <v>0</v>
      </c>
      <c r="V68" s="516">
        <f t="shared" si="40"/>
        <v>0</v>
      </c>
      <c r="W68" s="451"/>
      <c r="X68" s="515"/>
      <c r="Y68" s="486">
        <v>0</v>
      </c>
      <c r="Z68" s="486">
        <v>0</v>
      </c>
      <c r="AA68" s="486">
        <v>0</v>
      </c>
      <c r="AB68" s="486">
        <v>0</v>
      </c>
      <c r="AC68" s="486">
        <v>0</v>
      </c>
      <c r="AD68" s="486">
        <v>0</v>
      </c>
      <c r="AE68" s="486">
        <v>0</v>
      </c>
      <c r="AF68" s="516">
        <f t="shared" si="42"/>
        <v>0</v>
      </c>
    </row>
    <row r="69" spans="1:32" customFormat="1">
      <c r="A69" s="451"/>
      <c r="B69" s="457" t="s">
        <v>642</v>
      </c>
      <c r="C69" s="488"/>
      <c r="D69" s="471">
        <f>SUM(D57,D62:D63)</f>
        <v>17453.97912123362</v>
      </c>
      <c r="E69" s="471">
        <f t="shared" ref="E69:J69" si="43">SUM(E57,E62:E63)</f>
        <v>3852.7750890075658</v>
      </c>
      <c r="F69" s="471">
        <f t="shared" si="43"/>
        <v>0</v>
      </c>
      <c r="G69" s="471">
        <f t="shared" si="43"/>
        <v>2296.666666666667</v>
      </c>
      <c r="H69" s="471">
        <f t="shared" si="43"/>
        <v>0</v>
      </c>
      <c r="I69" s="471">
        <f t="shared" si="43"/>
        <v>25616.666666666664</v>
      </c>
      <c r="J69" s="471">
        <f t="shared" si="43"/>
        <v>40843.891577659102</v>
      </c>
      <c r="K69" s="517">
        <f t="shared" si="38"/>
        <v>90063.979121233628</v>
      </c>
      <c r="L69" s="455"/>
      <c r="M69" s="451"/>
      <c r="N69" s="518"/>
      <c r="O69" s="519">
        <f>SUM(O57,O62:O63)</f>
        <v>19648.212321481078</v>
      </c>
      <c r="P69" s="519">
        <f t="shared" ref="P69:U69" si="44">SUM(P57,P62:P63)</f>
        <v>1629.2312255446043</v>
      </c>
      <c r="Q69" s="519">
        <f t="shared" si="44"/>
        <v>0</v>
      </c>
      <c r="R69" s="519">
        <f t="shared" si="44"/>
        <v>0</v>
      </c>
      <c r="S69" s="519">
        <f t="shared" si="44"/>
        <v>4428.5714285714294</v>
      </c>
      <c r="T69" s="519">
        <f t="shared" si="44"/>
        <v>115585.71428571429</v>
      </c>
      <c r="U69" s="519">
        <f t="shared" si="44"/>
        <v>16970.768774455399</v>
      </c>
      <c r="V69" s="520">
        <f t="shared" si="40"/>
        <v>158262.49803576682</v>
      </c>
      <c r="W69" s="451"/>
      <c r="X69" s="518"/>
      <c r="Y69" s="519">
        <f>SUM(Y57,Y62:Y63)*Y$37/SUM(Y$57:Y$63)</f>
        <v>86619.462229283934</v>
      </c>
      <c r="Z69" s="519">
        <f>SUM(Z57,Z62:Z63)*Z$37/SUM(Z$57:Z$63)</f>
        <v>1252.1067537039921</v>
      </c>
      <c r="AA69" s="519">
        <f t="shared" ref="AA69:AD69" si="45">SUM(AA57,AA62:AA63)</f>
        <v>10101.010101010103</v>
      </c>
      <c r="AB69" s="519">
        <f t="shared" si="45"/>
        <v>0</v>
      </c>
      <c r="AC69" s="519">
        <f t="shared" si="45"/>
        <v>314.31714600031438</v>
      </c>
      <c r="AD69" s="519">
        <f t="shared" si="45"/>
        <v>299206.34920634923</v>
      </c>
      <c r="AE69" s="519">
        <f>SUM(AE57,AE62:AE63)*AE$37/SUM(AE$57:AE$63)</f>
        <v>12889.307387710151</v>
      </c>
      <c r="AF69" s="520">
        <f t="shared" si="42"/>
        <v>410382.5528240577</v>
      </c>
    </row>
    <row r="70" spans="1:32" customFormat="1">
      <c r="A70" s="451"/>
      <c r="B70" s="498" t="s">
        <v>636</v>
      </c>
      <c r="C70" s="498"/>
      <c r="D70" s="498" t="b">
        <f>SUM(D66:D69)=D37</f>
        <v>1</v>
      </c>
      <c r="E70" s="498" t="b">
        <f t="shared" ref="E70:J70" si="46">SUM(E66:E69)=E37</f>
        <v>1</v>
      </c>
      <c r="F70" s="498" t="b">
        <f t="shared" si="46"/>
        <v>1</v>
      </c>
      <c r="G70" s="498" t="b">
        <f t="shared" si="46"/>
        <v>1</v>
      </c>
      <c r="H70" s="498" t="b">
        <f t="shared" si="46"/>
        <v>1</v>
      </c>
      <c r="I70" s="498" t="b">
        <f t="shared" si="46"/>
        <v>1</v>
      </c>
      <c r="J70" s="498" t="b">
        <f t="shared" si="46"/>
        <v>1</v>
      </c>
      <c r="K70" s="498" t="b">
        <f>SUM(K66:K69)=K37</f>
        <v>1</v>
      </c>
      <c r="L70" s="455"/>
      <c r="M70" s="451"/>
      <c r="N70" s="498"/>
      <c r="O70" s="498" t="b">
        <f>SUM(O66:O69)=O37</f>
        <v>1</v>
      </c>
      <c r="P70" s="498" t="b">
        <f t="shared" ref="P70" si="47">SUM(P66:P69)=P37</f>
        <v>1</v>
      </c>
      <c r="Q70" s="498" t="b">
        <f t="shared" ref="Q70" si="48">SUM(Q66:Q69)=Q37</f>
        <v>1</v>
      </c>
      <c r="R70" s="498" t="b">
        <f t="shared" ref="R70:U70" si="49">SUM(R66:R69)=R37</f>
        <v>1</v>
      </c>
      <c r="S70" s="498" t="b">
        <f t="shared" si="49"/>
        <v>1</v>
      </c>
      <c r="T70" s="498" t="b">
        <f t="shared" si="49"/>
        <v>1</v>
      </c>
      <c r="U70" s="498" t="b">
        <f t="shared" si="49"/>
        <v>1</v>
      </c>
      <c r="V70" s="498" t="b">
        <f>SUM(V66:V69)=V37</f>
        <v>1</v>
      </c>
      <c r="W70" s="451"/>
      <c r="X70" s="498"/>
      <c r="Y70" s="498" t="b">
        <f>SUM(Y66:Y69)=Y37</f>
        <v>1</v>
      </c>
      <c r="Z70" s="498" t="b">
        <f t="shared" ref="Z70" si="50">SUM(Z66:Z69)=Z37</f>
        <v>1</v>
      </c>
      <c r="AA70" s="498" t="b">
        <f t="shared" ref="AA70" si="51">SUM(AA66:AA69)=AA37</f>
        <v>1</v>
      </c>
      <c r="AB70" s="498" t="b">
        <f t="shared" ref="AB70:AE70" si="52">SUM(AB66:AB69)=AB37</f>
        <v>1</v>
      </c>
      <c r="AC70" s="498" t="b">
        <f t="shared" si="52"/>
        <v>1</v>
      </c>
      <c r="AD70" s="498" t="b">
        <f t="shared" si="52"/>
        <v>1</v>
      </c>
      <c r="AE70" s="498" t="b">
        <f t="shared" si="52"/>
        <v>0</v>
      </c>
      <c r="AF70" s="498" t="b">
        <f>SUM(AF66:AF69)=AF37</f>
        <v>1</v>
      </c>
    </row>
    <row r="71" spans="1:32" customFormat="1">
      <c r="A71" s="451"/>
      <c r="B71" s="451"/>
      <c r="C71" s="452"/>
      <c r="D71" s="452"/>
      <c r="E71" s="451"/>
      <c r="F71" s="451"/>
      <c r="G71" s="451"/>
      <c r="H71" s="451"/>
      <c r="I71" s="451"/>
      <c r="J71" s="451"/>
      <c r="K71" s="451"/>
      <c r="L71" s="451"/>
      <c r="M71" s="451"/>
      <c r="N71" s="452"/>
      <c r="O71" s="452"/>
      <c r="P71" s="451"/>
      <c r="Q71" s="451"/>
      <c r="R71" s="451"/>
      <c r="S71" s="451"/>
      <c r="T71" s="451"/>
      <c r="U71" s="451"/>
      <c r="V71" s="451"/>
      <c r="W71" s="451"/>
      <c r="X71" s="452"/>
      <c r="Y71" s="452"/>
      <c r="Z71" s="451"/>
      <c r="AA71" s="451"/>
      <c r="AB71" s="451"/>
      <c r="AC71" s="451"/>
      <c r="AD71" s="451"/>
      <c r="AE71" s="451"/>
      <c r="AF71" s="451"/>
    </row>
    <row r="72" spans="1:32" customFormat="1" ht="15.75">
      <c r="A72" s="451"/>
      <c r="B72" s="681" t="s">
        <v>643</v>
      </c>
      <c r="C72" s="452"/>
      <c r="D72" s="452"/>
      <c r="E72" s="451"/>
      <c r="F72" s="451"/>
      <c r="G72" s="451"/>
      <c r="H72" s="451"/>
      <c r="I72" s="451"/>
      <c r="J72" s="451"/>
      <c r="K72" s="451"/>
      <c r="L72" s="451"/>
      <c r="M72" s="451"/>
      <c r="N72" s="452"/>
      <c r="O72" s="452"/>
      <c r="P72" s="451"/>
      <c r="Q72" s="451"/>
      <c r="R72" s="451"/>
      <c r="S72" s="451"/>
      <c r="T72" s="451"/>
      <c r="U72" s="451"/>
      <c r="V72" s="451"/>
      <c r="W72" s="451"/>
      <c r="X72" s="452"/>
      <c r="Y72" s="452"/>
      <c r="Z72" s="451"/>
      <c r="AA72" s="451"/>
      <c r="AB72" s="451"/>
      <c r="AC72" s="451"/>
      <c r="AD72" s="451"/>
      <c r="AE72" s="451"/>
      <c r="AF72" s="451"/>
    </row>
    <row r="73" spans="1:32" customFormat="1">
      <c r="A73" s="451"/>
      <c r="B73" s="453" t="s">
        <v>613</v>
      </c>
      <c r="C73" s="454" t="s">
        <v>616</v>
      </c>
      <c r="D73" s="455"/>
      <c r="E73" s="455"/>
      <c r="F73" s="455"/>
      <c r="G73" s="455"/>
      <c r="H73" s="455"/>
      <c r="I73" s="455"/>
      <c r="J73" s="455"/>
      <c r="K73" s="455"/>
      <c r="L73" s="451"/>
      <c r="M73" s="451"/>
      <c r="N73" s="454"/>
      <c r="O73" s="455"/>
      <c r="P73" s="455"/>
      <c r="Q73" s="455"/>
      <c r="R73" s="455"/>
      <c r="S73" s="455"/>
      <c r="T73" s="455"/>
      <c r="U73" s="455"/>
      <c r="V73" s="455"/>
      <c r="W73" s="451"/>
      <c r="X73" s="454"/>
      <c r="Y73" s="455"/>
      <c r="Z73" s="455"/>
      <c r="AA73" s="455"/>
      <c r="AB73" s="455"/>
      <c r="AC73" s="455"/>
      <c r="AD73" s="455"/>
      <c r="AE73" s="455"/>
      <c r="AF73" s="455"/>
    </row>
    <row r="74" spans="1:32" customFormat="1">
      <c r="A74" s="451"/>
      <c r="B74" s="453"/>
      <c r="C74" s="454" t="s">
        <v>644</v>
      </c>
      <c r="D74" s="455"/>
      <c r="E74" s="455"/>
      <c r="F74" s="455"/>
      <c r="G74" s="455"/>
      <c r="H74" s="455"/>
      <c r="I74" s="455"/>
      <c r="J74" s="455"/>
      <c r="K74" s="455"/>
      <c r="L74" s="451"/>
      <c r="M74" s="451"/>
      <c r="N74" s="454"/>
      <c r="O74" s="455"/>
      <c r="P74" s="455"/>
      <c r="Q74" s="455"/>
      <c r="R74" s="455"/>
      <c r="S74" s="455"/>
      <c r="T74" s="455"/>
      <c r="U74" s="455"/>
      <c r="V74" s="455"/>
      <c r="W74" s="451"/>
      <c r="X74" s="454"/>
      <c r="Y74" s="455"/>
      <c r="Z74" s="455"/>
      <c r="AA74" s="455"/>
      <c r="AB74" s="455"/>
      <c r="AC74" s="455"/>
      <c r="AD74" s="455"/>
      <c r="AE74" s="455"/>
      <c r="AF74" s="455"/>
    </row>
    <row r="75" spans="1:32" customFormat="1">
      <c r="A75" s="451"/>
      <c r="B75" s="453"/>
      <c r="C75" s="454" t="s">
        <v>617</v>
      </c>
      <c r="D75" s="455"/>
      <c r="E75" s="455"/>
      <c r="F75" s="455"/>
      <c r="G75" s="455"/>
      <c r="H75" s="455"/>
      <c r="I75" s="455"/>
      <c r="J75" s="455"/>
      <c r="K75" s="455"/>
      <c r="L75" s="451"/>
      <c r="M75" s="451"/>
      <c r="N75" s="454"/>
      <c r="O75" s="455"/>
      <c r="P75" s="455"/>
      <c r="Q75" s="455"/>
      <c r="R75" s="455"/>
      <c r="S75" s="455"/>
      <c r="T75" s="455"/>
      <c r="U75" s="455"/>
      <c r="V75" s="455"/>
      <c r="W75" s="451"/>
      <c r="X75" s="454"/>
      <c r="Y75" s="455"/>
      <c r="Z75" s="455"/>
      <c r="AA75" s="455"/>
      <c r="AB75" s="455"/>
      <c r="AC75" s="455"/>
      <c r="AD75" s="455"/>
      <c r="AE75" s="455"/>
      <c r="AF75" s="455"/>
    </row>
    <row r="76" spans="1:32" customFormat="1">
      <c r="A76" s="451"/>
      <c r="B76" s="475" t="s">
        <v>645</v>
      </c>
      <c r="C76" s="452"/>
      <c r="D76" s="452"/>
      <c r="E76" s="451"/>
      <c r="F76" s="451"/>
      <c r="G76" s="451"/>
      <c r="H76" s="451"/>
      <c r="I76" s="451"/>
      <c r="J76" s="451"/>
      <c r="K76" s="451"/>
      <c r="L76" s="451"/>
      <c r="M76" s="451"/>
      <c r="N76" s="452"/>
      <c r="O76" s="452"/>
      <c r="P76" s="451"/>
      <c r="Q76" s="451"/>
      <c r="R76" s="451"/>
      <c r="S76" s="451"/>
      <c r="T76" s="451"/>
      <c r="U76" s="451"/>
      <c r="V76" s="451"/>
      <c r="W76" s="451"/>
      <c r="X76" s="452"/>
      <c r="Y76" s="452"/>
      <c r="Z76" s="451"/>
      <c r="AA76" s="451"/>
      <c r="AB76" s="451"/>
      <c r="AC76" s="451"/>
      <c r="AD76" s="451"/>
      <c r="AE76" s="451"/>
      <c r="AF76" s="451"/>
    </row>
    <row r="77" spans="1:32" customFormat="1">
      <c r="A77" s="451"/>
      <c r="B77" s="451"/>
      <c r="C77" s="521" t="s">
        <v>72</v>
      </c>
      <c r="D77" s="521" t="s">
        <v>107</v>
      </c>
      <c r="E77" s="522" t="s">
        <v>73</v>
      </c>
      <c r="F77" s="522" t="s">
        <v>120</v>
      </c>
      <c r="G77" s="522" t="s">
        <v>108</v>
      </c>
      <c r="H77" s="522" t="s">
        <v>122</v>
      </c>
      <c r="I77" s="522" t="s">
        <v>109</v>
      </c>
      <c r="J77" s="522" t="s">
        <v>110</v>
      </c>
      <c r="K77" s="451"/>
      <c r="L77" s="451"/>
      <c r="M77" s="451"/>
      <c r="N77" s="521"/>
      <c r="O77" s="521"/>
      <c r="P77" s="522"/>
      <c r="Q77" s="522"/>
      <c r="R77" s="522"/>
      <c r="S77" s="522"/>
      <c r="T77" s="522"/>
      <c r="U77" s="522"/>
      <c r="V77" s="451"/>
      <c r="W77" s="451"/>
      <c r="X77" s="521"/>
      <c r="Y77" s="521"/>
      <c r="Z77" s="522"/>
      <c r="AA77" s="522"/>
      <c r="AB77" s="522"/>
      <c r="AC77" s="522"/>
      <c r="AD77" s="522"/>
      <c r="AE77" s="522"/>
      <c r="AF77" s="451"/>
    </row>
    <row r="78" spans="1:32" customFormat="1">
      <c r="A78" s="451"/>
      <c r="B78" s="523">
        <v>2007</v>
      </c>
      <c r="C78" s="524">
        <f t="shared" ref="C78:C83" si="53">C$84/Pop_ACT*C5</f>
        <v>0</v>
      </c>
      <c r="D78" s="524">
        <f t="shared" ref="D78:D83" si="54">D$84/Pop_NSW*D5</f>
        <v>297408.42191977997</v>
      </c>
      <c r="E78" s="524">
        <f t="shared" ref="E78:E83" si="55">E$84/Pop_NT*E5</f>
        <v>8479.1541471444325</v>
      </c>
      <c r="F78" s="524">
        <f t="shared" ref="F78:F83" si="56">F$84/Pop_Qld*F5</f>
        <v>257248.58198857558</v>
      </c>
      <c r="G78" s="524">
        <f t="shared" ref="G78:G83" si="57">G$84/Pop_SA*G5</f>
        <v>129872.39847610176</v>
      </c>
      <c r="H78" s="524">
        <f t="shared" ref="H78:H83" si="58">H$84/Pop_Tas*H5</f>
        <v>15157.59833945782</v>
      </c>
      <c r="I78" s="524">
        <f t="shared" ref="I78:I83" si="59">I$84/Pop_Vic*I5</f>
        <v>131677.10360054695</v>
      </c>
      <c r="J78" s="524">
        <f t="shared" ref="J78:J83" si="60">J$84/Pop_WA*J5</f>
        <v>82489.14447920442</v>
      </c>
      <c r="K78" s="525">
        <f>SUM(C78:J78)</f>
        <v>922332.40295081085</v>
      </c>
      <c r="L78" s="451"/>
      <c r="M78" s="451"/>
      <c r="N78" s="481"/>
      <c r="O78" s="481"/>
      <c r="P78" s="481"/>
      <c r="Q78" s="481"/>
      <c r="R78" s="481"/>
      <c r="S78" s="481"/>
      <c r="T78" s="481"/>
      <c r="U78" s="481"/>
      <c r="V78" s="451"/>
      <c r="W78" s="451"/>
      <c r="X78" s="481"/>
      <c r="Y78" s="481"/>
      <c r="Z78" s="481"/>
      <c r="AA78" s="481"/>
      <c r="AB78" s="481"/>
      <c r="AC78" s="481"/>
      <c r="AD78" s="481"/>
      <c r="AE78" s="481"/>
      <c r="AF78" s="451"/>
    </row>
    <row r="79" spans="1:32" customFormat="1">
      <c r="A79" s="451"/>
      <c r="B79" s="523">
        <v>2008</v>
      </c>
      <c r="C79" s="524">
        <f t="shared" si="53"/>
        <v>0</v>
      </c>
      <c r="D79" s="524">
        <f t="shared" si="54"/>
        <v>301689.84522164543</v>
      </c>
      <c r="E79" s="524">
        <f t="shared" si="55"/>
        <v>8703.720403575493</v>
      </c>
      <c r="F79" s="524">
        <f t="shared" si="56"/>
        <v>263854.14841707575</v>
      </c>
      <c r="G79" s="524">
        <f t="shared" si="57"/>
        <v>131302.21763795771</v>
      </c>
      <c r="H79" s="524">
        <f t="shared" si="58"/>
        <v>15291.530059930777</v>
      </c>
      <c r="I79" s="524">
        <f t="shared" si="59"/>
        <v>134141.88678847812</v>
      </c>
      <c r="J79" s="524">
        <f t="shared" si="60"/>
        <v>84798.313227552993</v>
      </c>
      <c r="K79" s="525">
        <f t="shared" ref="K79:K88" si="61">SUM(C79:J79)</f>
        <v>939781.66175621632</v>
      </c>
      <c r="L79" s="451"/>
      <c r="M79" s="451"/>
      <c r="N79" s="526"/>
      <c r="O79" s="526"/>
      <c r="P79" s="526"/>
      <c r="Q79" s="526"/>
      <c r="R79" s="526"/>
      <c r="S79" s="526"/>
      <c r="T79" s="526"/>
      <c r="U79" s="526"/>
      <c r="V79" s="451"/>
      <c r="W79" s="451"/>
      <c r="X79" s="526"/>
      <c r="Y79" s="526"/>
      <c r="Z79" s="526"/>
      <c r="AA79" s="526"/>
      <c r="AB79" s="526"/>
      <c r="AC79" s="526"/>
      <c r="AD79" s="526"/>
      <c r="AE79" s="526"/>
      <c r="AF79" s="451"/>
    </row>
    <row r="80" spans="1:32" customFormat="1">
      <c r="A80" s="451"/>
      <c r="B80" s="523">
        <v>2009</v>
      </c>
      <c r="C80" s="524">
        <f t="shared" si="53"/>
        <v>0</v>
      </c>
      <c r="D80" s="524">
        <f t="shared" si="54"/>
        <v>306858.21366521285</v>
      </c>
      <c r="E80" s="524">
        <f t="shared" si="55"/>
        <v>8941.1040935011861</v>
      </c>
      <c r="F80" s="524">
        <f t="shared" si="56"/>
        <v>271183.79325882433</v>
      </c>
      <c r="G80" s="524">
        <f t="shared" si="57"/>
        <v>132915.20404598315</v>
      </c>
      <c r="H80" s="524">
        <f t="shared" si="58"/>
        <v>15473.970782546023</v>
      </c>
      <c r="I80" s="524">
        <f t="shared" si="59"/>
        <v>137077.34661272797</v>
      </c>
      <c r="J80" s="524">
        <f t="shared" si="60"/>
        <v>87734.352241217202</v>
      </c>
      <c r="K80" s="525">
        <f t="shared" si="61"/>
        <v>960183.9847000126</v>
      </c>
      <c r="L80" s="451"/>
      <c r="M80" s="451"/>
      <c r="N80" s="481"/>
      <c r="O80" s="481"/>
      <c r="P80" s="481"/>
      <c r="Q80" s="481"/>
      <c r="R80" s="481"/>
      <c r="S80" s="481"/>
      <c r="T80" s="481"/>
      <c r="U80" s="481"/>
      <c r="V80" s="451"/>
      <c r="W80" s="451"/>
      <c r="X80" s="481"/>
      <c r="Y80" s="481"/>
      <c r="Z80" s="481"/>
      <c r="AA80" s="481"/>
      <c r="AB80" s="481"/>
      <c r="AC80" s="481"/>
      <c r="AD80" s="481"/>
      <c r="AE80" s="481"/>
      <c r="AF80" s="451"/>
    </row>
    <row r="81" spans="1:32" customFormat="1">
      <c r="A81" s="451"/>
      <c r="B81" s="523">
        <v>2010</v>
      </c>
      <c r="C81" s="524">
        <f t="shared" si="53"/>
        <v>0</v>
      </c>
      <c r="D81" s="524">
        <f t="shared" si="54"/>
        <v>311228.60320077999</v>
      </c>
      <c r="E81" s="524">
        <f t="shared" si="55"/>
        <v>9152.3305758876759</v>
      </c>
      <c r="F81" s="524">
        <f t="shared" si="56"/>
        <v>277012.89087732206</v>
      </c>
      <c r="G81" s="524">
        <f t="shared" si="57"/>
        <v>134636.90961420088</v>
      </c>
      <c r="H81" s="524">
        <f t="shared" si="58"/>
        <v>15618.510956125749</v>
      </c>
      <c r="I81" s="524">
        <f t="shared" si="59"/>
        <v>139811.10999196908</v>
      </c>
      <c r="J81" s="524">
        <f t="shared" si="60"/>
        <v>89911.657004211418</v>
      </c>
      <c r="K81" s="525">
        <f t="shared" si="61"/>
        <v>977372.01222049689</v>
      </c>
      <c r="L81" s="451"/>
      <c r="M81" s="451"/>
      <c r="N81" s="481"/>
      <c r="O81" s="481"/>
      <c r="P81" s="481"/>
      <c r="Q81" s="481"/>
      <c r="R81" s="481"/>
      <c r="S81" s="481"/>
      <c r="T81" s="481"/>
      <c r="U81" s="481"/>
      <c r="V81" s="451"/>
      <c r="W81" s="451"/>
      <c r="X81" s="481"/>
      <c r="Y81" s="481"/>
      <c r="Z81" s="481"/>
      <c r="AA81" s="481"/>
      <c r="AB81" s="481"/>
      <c r="AC81" s="481"/>
      <c r="AD81" s="481"/>
      <c r="AE81" s="481"/>
      <c r="AF81" s="451"/>
    </row>
    <row r="82" spans="1:32" customFormat="1">
      <c r="A82" s="451"/>
      <c r="B82" s="523">
        <v>2011</v>
      </c>
      <c r="C82" s="524">
        <f t="shared" si="53"/>
        <v>0</v>
      </c>
      <c r="D82" s="524">
        <f t="shared" si="54"/>
        <v>314663.97076786146</v>
      </c>
      <c r="E82" s="524">
        <f t="shared" si="55"/>
        <v>9253.4235623218392</v>
      </c>
      <c r="F82" s="524">
        <f t="shared" si="56"/>
        <v>281416.47497639462</v>
      </c>
      <c r="G82" s="524">
        <f t="shared" si="57"/>
        <v>135793.47518674409</v>
      </c>
      <c r="H82" s="524">
        <f t="shared" si="58"/>
        <v>15734.402138611904</v>
      </c>
      <c r="I82" s="524">
        <f t="shared" si="59"/>
        <v>141783.75179016031</v>
      </c>
      <c r="J82" s="524">
        <f t="shared" si="60"/>
        <v>92108.701646940914</v>
      </c>
      <c r="K82" s="525">
        <f t="shared" si="61"/>
        <v>990754.20006903505</v>
      </c>
      <c r="L82" s="451"/>
      <c r="M82" s="451"/>
      <c r="N82" s="481"/>
      <c r="O82" s="481"/>
      <c r="P82" s="481"/>
      <c r="Q82" s="481"/>
      <c r="R82" s="481"/>
      <c r="S82" s="481"/>
      <c r="T82" s="481"/>
      <c r="U82" s="481"/>
      <c r="V82" s="451"/>
      <c r="W82" s="451"/>
      <c r="X82" s="481"/>
      <c r="Y82" s="481"/>
      <c r="Z82" s="481"/>
      <c r="AA82" s="481"/>
      <c r="AB82" s="481"/>
      <c r="AC82" s="481"/>
      <c r="AD82" s="481"/>
      <c r="AE82" s="481"/>
      <c r="AF82" s="451"/>
    </row>
    <row r="83" spans="1:32" customFormat="1">
      <c r="A83" s="451"/>
      <c r="B83" s="523">
        <v>2012</v>
      </c>
      <c r="C83" s="524">
        <f t="shared" si="53"/>
        <v>0</v>
      </c>
      <c r="D83" s="524">
        <f t="shared" si="54"/>
        <v>318118.79695945705</v>
      </c>
      <c r="E83" s="524">
        <f t="shared" si="55"/>
        <v>9360.0212145515052</v>
      </c>
      <c r="F83" s="524">
        <f t="shared" si="56"/>
        <v>286602.68026862346</v>
      </c>
      <c r="G83" s="524">
        <f t="shared" si="57"/>
        <v>137016.33698780549</v>
      </c>
      <c r="H83" s="524">
        <f t="shared" si="58"/>
        <v>15781.276698851114</v>
      </c>
      <c r="I83" s="524">
        <f t="shared" si="59"/>
        <v>144263.21459912113</v>
      </c>
      <c r="J83" s="524">
        <f t="shared" si="60"/>
        <v>94765.204898881027</v>
      </c>
      <c r="K83" s="525">
        <f t="shared" si="61"/>
        <v>1005907.5316272908</v>
      </c>
      <c r="L83" s="451"/>
      <c r="M83" s="451"/>
      <c r="N83" s="526"/>
      <c r="O83" s="526"/>
      <c r="P83" s="526"/>
      <c r="Q83" s="526"/>
      <c r="R83" s="526"/>
      <c r="S83" s="526"/>
      <c r="T83" s="526"/>
      <c r="U83" s="526"/>
      <c r="V83" s="451"/>
      <c r="W83" s="451"/>
      <c r="X83" s="526"/>
      <c r="Y83" s="526"/>
      <c r="Z83" s="526"/>
      <c r="AA83" s="526"/>
      <c r="AB83" s="526"/>
      <c r="AC83" s="526"/>
      <c r="AD83" s="526"/>
      <c r="AE83" s="526"/>
      <c r="AF83" s="451"/>
    </row>
    <row r="84" spans="1:32" customFormat="1">
      <c r="A84" s="451"/>
      <c r="B84" s="523">
        <v>2013</v>
      </c>
      <c r="C84" s="527">
        <f t="shared" ref="C84:J84" si="62">X67</f>
        <v>0</v>
      </c>
      <c r="D84" s="527">
        <f t="shared" si="62"/>
        <v>341918.92985243653</v>
      </c>
      <c r="E84" s="527">
        <f t="shared" si="62"/>
        <v>9891.6433542615359</v>
      </c>
      <c r="F84" s="527">
        <f t="shared" si="62"/>
        <v>309764.30976430979</v>
      </c>
      <c r="G84" s="527">
        <f t="shared" si="62"/>
        <v>142857.14285714287</v>
      </c>
      <c r="H84" s="527">
        <f t="shared" si="62"/>
        <v>16030.174446016032</v>
      </c>
      <c r="I84" s="527">
        <f t="shared" si="62"/>
        <v>161111.11111111115</v>
      </c>
      <c r="J84" s="527">
        <f t="shared" si="62"/>
        <v>101825.52836291019</v>
      </c>
      <c r="K84" s="525">
        <f t="shared" si="61"/>
        <v>1083398.8397481882</v>
      </c>
      <c r="L84" s="451"/>
      <c r="M84" s="451"/>
      <c r="N84" s="526"/>
      <c r="O84" s="526"/>
      <c r="P84" s="526"/>
      <c r="Q84" s="526"/>
      <c r="R84" s="526"/>
      <c r="S84" s="526"/>
      <c r="T84" s="526"/>
      <c r="U84" s="526"/>
      <c r="V84" s="451"/>
      <c r="W84" s="451"/>
      <c r="X84" s="526"/>
      <c r="Y84" s="526"/>
      <c r="Z84" s="526"/>
      <c r="AA84" s="526"/>
      <c r="AB84" s="526"/>
      <c r="AC84" s="526"/>
      <c r="AD84" s="526"/>
      <c r="AE84" s="526"/>
      <c r="AF84" s="451"/>
    </row>
    <row r="85" spans="1:32" customFormat="1">
      <c r="A85" s="451"/>
      <c r="B85" s="523">
        <v>2014</v>
      </c>
      <c r="C85" s="528">
        <f>AVERAGE(C84,C86)</f>
        <v>0</v>
      </c>
      <c r="D85" s="528">
        <f t="shared" ref="D85:J85" si="63">AVERAGE(D84,D86)</f>
        <v>353687.83951599232</v>
      </c>
      <c r="E85" s="528">
        <f t="shared" si="63"/>
        <v>9426.2075473784298</v>
      </c>
      <c r="F85" s="528">
        <f t="shared" si="63"/>
        <v>299548.82154882158</v>
      </c>
      <c r="G85" s="528">
        <f t="shared" si="63"/>
        <v>137857.14285714287</v>
      </c>
      <c r="H85" s="528">
        <f t="shared" si="63"/>
        <v>42336.515794436593</v>
      </c>
      <c r="I85" s="528">
        <f t="shared" si="63"/>
        <v>236810.31746031746</v>
      </c>
      <c r="J85" s="528">
        <f t="shared" si="63"/>
        <v>97582.378311207431</v>
      </c>
      <c r="K85" s="525">
        <f t="shared" si="61"/>
        <v>1177249.2230352967</v>
      </c>
      <c r="L85" s="451"/>
      <c r="M85" s="451"/>
      <c r="N85" s="481"/>
      <c r="O85" s="481"/>
      <c r="P85" s="481"/>
      <c r="Q85" s="481"/>
      <c r="R85" s="481"/>
      <c r="S85" s="481"/>
      <c r="T85" s="481"/>
      <c r="U85" s="481"/>
      <c r="V85" s="451"/>
      <c r="W85" s="451"/>
      <c r="X85" s="481"/>
      <c r="Y85" s="481"/>
      <c r="Z85" s="481"/>
      <c r="AA85" s="481"/>
      <c r="AB85" s="481"/>
      <c r="AC85" s="481"/>
      <c r="AD85" s="481"/>
      <c r="AE85" s="481"/>
      <c r="AF85" s="451"/>
    </row>
    <row r="86" spans="1:32" customFormat="1">
      <c r="A86" s="451"/>
      <c r="B86" s="523">
        <v>2015</v>
      </c>
      <c r="C86" s="481">
        <f t="shared" ref="C86:J86" si="64">N67</f>
        <v>0</v>
      </c>
      <c r="D86" s="481">
        <f t="shared" si="64"/>
        <v>365456.74917954812</v>
      </c>
      <c r="E86" s="481">
        <f t="shared" si="64"/>
        <v>8960.7717404953237</v>
      </c>
      <c r="F86" s="481">
        <f t="shared" si="64"/>
        <v>289333.33333333337</v>
      </c>
      <c r="G86" s="481">
        <f t="shared" si="64"/>
        <v>132857.14285714287</v>
      </c>
      <c r="H86" s="481">
        <f t="shared" si="64"/>
        <v>68642.857142857159</v>
      </c>
      <c r="I86" s="481">
        <f t="shared" si="64"/>
        <v>312509.52380952379</v>
      </c>
      <c r="J86" s="481">
        <f t="shared" si="64"/>
        <v>93339.228259504685</v>
      </c>
      <c r="K86" s="525">
        <f t="shared" si="61"/>
        <v>1271099.6063224054</v>
      </c>
      <c r="L86" s="451"/>
      <c r="M86" s="451"/>
      <c r="N86" s="481"/>
      <c r="O86" s="481"/>
      <c r="P86" s="481"/>
      <c r="Q86" s="481"/>
      <c r="R86" s="481"/>
      <c r="S86" s="481"/>
      <c r="T86" s="481"/>
      <c r="U86" s="481"/>
      <c r="V86" s="451"/>
      <c r="W86" s="451"/>
      <c r="X86" s="481"/>
      <c r="Y86" s="481"/>
      <c r="Z86" s="481"/>
      <c r="AA86" s="481"/>
      <c r="AB86" s="481"/>
      <c r="AC86" s="481"/>
      <c r="AD86" s="481"/>
      <c r="AE86" s="481"/>
      <c r="AF86" s="451"/>
    </row>
    <row r="87" spans="1:32" customFormat="1">
      <c r="A87" s="451"/>
      <c r="B87" s="523">
        <v>2016</v>
      </c>
      <c r="C87" s="528">
        <f>AVERAGE(C86,C88)</f>
        <v>0</v>
      </c>
      <c r="D87" s="528">
        <f t="shared" ref="D87:J87" si="65">AVERAGE(D86,D88)</f>
        <v>325985.5174469169</v>
      </c>
      <c r="E87" s="528">
        <f t="shared" si="65"/>
        <v>15691.814441676233</v>
      </c>
      <c r="F87" s="528">
        <f t="shared" si="65"/>
        <v>305675.23809523811</v>
      </c>
      <c r="G87" s="528">
        <f t="shared" si="65"/>
        <v>128714.28571428572</v>
      </c>
      <c r="H87" s="528">
        <f t="shared" si="65"/>
        <v>49892.857142857152</v>
      </c>
      <c r="I87" s="528">
        <f t="shared" si="65"/>
        <v>395198.33333333337</v>
      </c>
      <c r="J87" s="528">
        <f t="shared" si="65"/>
        <v>97121.042701180922</v>
      </c>
      <c r="K87" s="525">
        <f t="shared" si="61"/>
        <v>1318279.0888754884</v>
      </c>
      <c r="L87" s="451"/>
      <c r="M87" s="451"/>
      <c r="N87" s="481"/>
      <c r="O87" s="481"/>
      <c r="P87" s="481"/>
      <c r="Q87" s="481"/>
      <c r="R87" s="481"/>
      <c r="S87" s="481"/>
      <c r="T87" s="481"/>
      <c r="U87" s="481"/>
      <c r="V87" s="451"/>
      <c r="W87" s="451"/>
      <c r="X87" s="481"/>
      <c r="Y87" s="481"/>
      <c r="Z87" s="481"/>
      <c r="AA87" s="481"/>
      <c r="AB87" s="481"/>
      <c r="AC87" s="481"/>
      <c r="AD87" s="481"/>
      <c r="AE87" s="481"/>
      <c r="AF87" s="451"/>
    </row>
    <row r="88" spans="1:32" customFormat="1">
      <c r="A88" s="451"/>
      <c r="B88" s="523">
        <v>2017</v>
      </c>
      <c r="C88" s="529">
        <v>0</v>
      </c>
      <c r="D88" s="529">
        <v>286514.28571428568</v>
      </c>
      <c r="E88" s="529">
        <v>22422.857142857145</v>
      </c>
      <c r="F88" s="529">
        <v>322017.14285714284</v>
      </c>
      <c r="G88" s="529">
        <v>124571.42857142858</v>
      </c>
      <c r="H88" s="529">
        <v>31142.857142857145</v>
      </c>
      <c r="I88" s="529">
        <v>477887.1428571429</v>
      </c>
      <c r="J88" s="529">
        <v>100902.85714285716</v>
      </c>
      <c r="K88" s="525">
        <f t="shared" si="61"/>
        <v>1365458.5714285714</v>
      </c>
      <c r="L88" s="451"/>
      <c r="M88" s="451" t="s">
        <v>646</v>
      </c>
      <c r="N88" s="529"/>
      <c r="O88" s="529"/>
      <c r="P88" s="529"/>
      <c r="Q88" s="529"/>
      <c r="R88" s="529"/>
      <c r="S88" s="529"/>
      <c r="T88" s="529"/>
      <c r="U88" s="529"/>
      <c r="V88" s="451"/>
      <c r="W88" s="451"/>
      <c r="X88" s="529"/>
      <c r="Y88" s="529"/>
      <c r="Z88" s="529"/>
      <c r="AA88" s="529"/>
      <c r="AB88" s="529"/>
      <c r="AC88" s="529"/>
      <c r="AD88" s="529"/>
      <c r="AE88" s="529"/>
      <c r="AF88" s="451"/>
    </row>
    <row r="89" spans="1:32" customFormat="1">
      <c r="A89" s="451"/>
      <c r="B89" s="523">
        <v>2018</v>
      </c>
      <c r="C89" s="481"/>
      <c r="D89" s="481"/>
      <c r="E89" s="481"/>
      <c r="F89" s="481"/>
      <c r="G89" s="481"/>
      <c r="H89" s="481"/>
      <c r="I89" s="481"/>
      <c r="J89" s="481"/>
      <c r="K89" s="451"/>
      <c r="L89" s="451"/>
      <c r="M89" s="451"/>
      <c r="N89" s="481"/>
      <c r="O89" s="481"/>
      <c r="P89" s="481"/>
      <c r="Q89" s="481"/>
      <c r="R89" s="481"/>
      <c r="S89" s="481"/>
      <c r="T89" s="481"/>
      <c r="U89" s="481"/>
      <c r="V89" s="451"/>
      <c r="W89" s="451"/>
      <c r="X89" s="481"/>
      <c r="Y89" s="481"/>
      <c r="Z89" s="481"/>
      <c r="AA89" s="481"/>
      <c r="AB89" s="481"/>
      <c r="AC89" s="481"/>
      <c r="AD89" s="481"/>
      <c r="AE89" s="481"/>
      <c r="AF89" s="451"/>
    </row>
    <row r="90" spans="1:32" customFormat="1">
      <c r="A90" s="451"/>
      <c r="B90" s="451"/>
      <c r="C90" s="452"/>
      <c r="D90" s="452"/>
      <c r="E90" s="451"/>
      <c r="F90" s="451"/>
      <c r="G90" s="451"/>
      <c r="H90" s="451"/>
      <c r="I90" s="451"/>
      <c r="J90" s="451"/>
      <c r="K90" s="451"/>
      <c r="L90" s="451"/>
      <c r="M90" s="451"/>
      <c r="N90" s="452"/>
      <c r="O90" s="452"/>
      <c r="P90" s="451"/>
      <c r="Q90" s="451"/>
      <c r="R90" s="451"/>
      <c r="S90" s="451"/>
      <c r="T90" s="451"/>
      <c r="U90" s="451"/>
      <c r="V90" s="451"/>
      <c r="W90" s="451"/>
      <c r="X90" s="452"/>
      <c r="Y90" s="452"/>
      <c r="Z90" s="451"/>
      <c r="AA90" s="451"/>
      <c r="AB90" s="451"/>
      <c r="AC90" s="451"/>
      <c r="AD90" s="451"/>
      <c r="AE90" s="451"/>
      <c r="AF90" s="451"/>
    </row>
    <row r="91" spans="1:32" customFormat="1">
      <c r="A91" s="451"/>
      <c r="B91" s="475" t="s">
        <v>647</v>
      </c>
      <c r="C91" s="452"/>
      <c r="D91" s="452"/>
      <c r="E91" s="451"/>
      <c r="F91" s="451"/>
      <c r="G91" s="451"/>
      <c r="H91" s="451"/>
      <c r="I91" s="451"/>
      <c r="J91" s="451"/>
      <c r="K91" s="451"/>
      <c r="L91" s="451"/>
      <c r="M91" s="451"/>
      <c r="N91" s="452"/>
      <c r="O91" s="452"/>
      <c r="P91" s="451"/>
      <c r="Q91" s="451"/>
      <c r="R91" s="451"/>
      <c r="S91" s="451"/>
      <c r="T91" s="451"/>
      <c r="U91" s="451"/>
      <c r="V91" s="451"/>
      <c r="W91" s="451"/>
      <c r="X91" s="452"/>
      <c r="Y91" s="452"/>
      <c r="Z91" s="451"/>
      <c r="AA91" s="451"/>
      <c r="AB91" s="451"/>
      <c r="AC91" s="451"/>
      <c r="AD91" s="451"/>
      <c r="AE91" s="451"/>
      <c r="AF91" s="451"/>
    </row>
    <row r="92" spans="1:32" customFormat="1">
      <c r="A92" s="451"/>
      <c r="B92" s="451"/>
      <c r="C92" s="521" t="s">
        <v>72</v>
      </c>
      <c r="D92" s="521" t="s">
        <v>107</v>
      </c>
      <c r="E92" s="522" t="s">
        <v>73</v>
      </c>
      <c r="F92" s="522" t="s">
        <v>120</v>
      </c>
      <c r="G92" s="522" t="s">
        <v>108</v>
      </c>
      <c r="H92" s="522" t="s">
        <v>122</v>
      </c>
      <c r="I92" s="522" t="s">
        <v>109</v>
      </c>
      <c r="J92" s="522" t="s">
        <v>110</v>
      </c>
      <c r="K92" s="451"/>
      <c r="L92" s="451"/>
      <c r="M92" s="451"/>
      <c r="N92" s="521"/>
      <c r="O92" s="521"/>
      <c r="P92" s="522"/>
      <c r="Q92" s="522"/>
      <c r="R92" s="522"/>
      <c r="S92" s="522"/>
      <c r="T92" s="522"/>
      <c r="U92" s="522"/>
      <c r="V92" s="451"/>
      <c r="W92" s="451"/>
      <c r="X92" s="521"/>
      <c r="Y92" s="521"/>
      <c r="Z92" s="522"/>
      <c r="AA92" s="522"/>
      <c r="AB92" s="522"/>
      <c r="AC92" s="522"/>
      <c r="AD92" s="522"/>
      <c r="AE92" s="522"/>
      <c r="AF92" s="451"/>
    </row>
    <row r="93" spans="1:32" customFormat="1">
      <c r="A93" s="451"/>
      <c r="B93" s="452">
        <v>2007</v>
      </c>
      <c r="C93" s="524">
        <f t="shared" ref="C93:C98" si="66">C$99/Pop_ACT*C5</f>
        <v>0</v>
      </c>
      <c r="D93" s="524">
        <f t="shared" ref="D93:D98" si="67">D$99/Pop_NSW*D5</f>
        <v>75343.466886344278</v>
      </c>
      <c r="E93" s="524">
        <f t="shared" ref="E93:E98" si="68">E$99/Pop_NT*E5</f>
        <v>1073.3106515372701</v>
      </c>
      <c r="F93" s="524">
        <f t="shared" ref="F93:F98" si="69">F$99/Pop_Qld*F5</f>
        <v>8388.5407170187682</v>
      </c>
      <c r="G93" s="524">
        <f t="shared" ref="G93:G98" si="70">G$99/Pop_SA*G5</f>
        <v>0</v>
      </c>
      <c r="H93" s="524">
        <f t="shared" ref="H93:H98" si="71">H$99/Pop_Tas*H5</f>
        <v>297.20781057760439</v>
      </c>
      <c r="I93" s="524">
        <f t="shared" ref="I93:I98" si="72">I$99/Pop_Vic*I5</f>
        <v>244543.19240101572</v>
      </c>
      <c r="J93" s="524">
        <f t="shared" ref="J93:J98" si="73">J$99/Pop_WA*J5</f>
        <v>10441.663858127142</v>
      </c>
      <c r="K93" s="525">
        <f>SUM(C93:J93)</f>
        <v>340087.38232462079</v>
      </c>
      <c r="L93" s="451"/>
      <c r="M93" s="451"/>
      <c r="N93" s="481"/>
      <c r="O93" s="481"/>
      <c r="P93" s="481"/>
      <c r="Q93" s="481"/>
      <c r="R93" s="481"/>
      <c r="S93" s="481"/>
      <c r="T93" s="481"/>
      <c r="U93" s="481"/>
      <c r="V93" s="451"/>
      <c r="W93" s="451"/>
      <c r="X93" s="481"/>
      <c r="Y93" s="481"/>
      <c r="Z93" s="481"/>
      <c r="AA93" s="481"/>
      <c r="AB93" s="481"/>
      <c r="AC93" s="481"/>
      <c r="AD93" s="481"/>
      <c r="AE93" s="481"/>
      <c r="AF93" s="451"/>
    </row>
    <row r="94" spans="1:32" customFormat="1">
      <c r="A94" s="451"/>
      <c r="B94" s="452">
        <v>2008</v>
      </c>
      <c r="C94" s="524">
        <f t="shared" si="66"/>
        <v>0</v>
      </c>
      <c r="D94" s="524">
        <f t="shared" si="67"/>
        <v>76428.094122816852</v>
      </c>
      <c r="E94" s="524">
        <f t="shared" si="68"/>
        <v>1101.736759946265</v>
      </c>
      <c r="F94" s="524">
        <f t="shared" si="69"/>
        <v>8603.9396222959476</v>
      </c>
      <c r="G94" s="524">
        <f t="shared" si="70"/>
        <v>0</v>
      </c>
      <c r="H94" s="524">
        <f t="shared" si="71"/>
        <v>299.8339227437408</v>
      </c>
      <c r="I94" s="524">
        <f t="shared" si="72"/>
        <v>249120.64689288789</v>
      </c>
      <c r="J94" s="524">
        <f t="shared" si="73"/>
        <v>10733.963699690252</v>
      </c>
      <c r="K94" s="525">
        <f t="shared" ref="K94:K103" si="74">SUM(C94:J94)</f>
        <v>346288.21502038091</v>
      </c>
      <c r="L94" s="451"/>
      <c r="M94" s="451"/>
      <c r="N94" s="481"/>
      <c r="O94" s="481"/>
      <c r="P94" s="481"/>
      <c r="Q94" s="481"/>
      <c r="R94" s="481"/>
      <c r="S94" s="481"/>
      <c r="T94" s="481"/>
      <c r="U94" s="481"/>
      <c r="V94" s="451"/>
      <c r="W94" s="451"/>
      <c r="X94" s="481"/>
      <c r="Y94" s="481"/>
      <c r="Z94" s="481"/>
      <c r="AA94" s="481"/>
      <c r="AB94" s="481"/>
      <c r="AC94" s="481"/>
      <c r="AD94" s="481"/>
      <c r="AE94" s="481"/>
      <c r="AF94" s="451"/>
    </row>
    <row r="95" spans="1:32" customFormat="1">
      <c r="A95" s="451"/>
      <c r="B95" s="452">
        <v>2009</v>
      </c>
      <c r="C95" s="524">
        <f t="shared" si="66"/>
        <v>0</v>
      </c>
      <c r="D95" s="524">
        <f t="shared" si="67"/>
        <v>77737.414128520613</v>
      </c>
      <c r="E95" s="524">
        <f t="shared" si="68"/>
        <v>1131.7853282912897</v>
      </c>
      <c r="F95" s="524">
        <f t="shared" si="69"/>
        <v>8842.9497801790531</v>
      </c>
      <c r="G95" s="524">
        <f t="shared" si="70"/>
        <v>0</v>
      </c>
      <c r="H95" s="524">
        <f t="shared" si="71"/>
        <v>303.41119181462795</v>
      </c>
      <c r="I95" s="524">
        <f t="shared" si="72"/>
        <v>254572.21513792334</v>
      </c>
      <c r="J95" s="524">
        <f t="shared" si="73"/>
        <v>11105.614207749013</v>
      </c>
      <c r="K95" s="525">
        <f t="shared" si="74"/>
        <v>353693.38977447792</v>
      </c>
      <c r="L95" s="451"/>
      <c r="M95" s="451"/>
      <c r="N95" s="481"/>
      <c r="O95" s="481"/>
      <c r="P95" s="481"/>
      <c r="Q95" s="481"/>
      <c r="R95" s="481"/>
      <c r="S95" s="481"/>
      <c r="T95" s="481"/>
      <c r="U95" s="481"/>
      <c r="V95" s="451"/>
      <c r="W95" s="451"/>
      <c r="X95" s="481"/>
      <c r="Y95" s="481"/>
      <c r="Z95" s="481"/>
      <c r="AA95" s="481"/>
      <c r="AB95" s="481"/>
      <c r="AC95" s="481"/>
      <c r="AD95" s="481"/>
      <c r="AE95" s="481"/>
      <c r="AF95" s="451"/>
    </row>
    <row r="96" spans="1:32" customFormat="1">
      <c r="A96" s="451"/>
      <c r="B96" s="452">
        <v>2010</v>
      </c>
      <c r="C96" s="524">
        <f t="shared" si="66"/>
        <v>0</v>
      </c>
      <c r="D96" s="524">
        <f t="shared" si="67"/>
        <v>78844.579477530948</v>
      </c>
      <c r="E96" s="524">
        <f t="shared" si="68"/>
        <v>1158.522857707301</v>
      </c>
      <c r="F96" s="524">
        <f t="shared" si="69"/>
        <v>9033.0290503474589</v>
      </c>
      <c r="G96" s="524">
        <f t="shared" si="70"/>
        <v>0</v>
      </c>
      <c r="H96" s="524">
        <f t="shared" si="71"/>
        <v>306.24531286521079</v>
      </c>
      <c r="I96" s="524">
        <f t="shared" si="72"/>
        <v>259649.20427079967</v>
      </c>
      <c r="J96" s="524">
        <f t="shared" si="73"/>
        <v>11381.222405596382</v>
      </c>
      <c r="K96" s="525">
        <f t="shared" si="74"/>
        <v>360372.80337484699</v>
      </c>
      <c r="L96" s="451"/>
      <c r="M96" s="451"/>
      <c r="N96" s="481"/>
      <c r="O96" s="481"/>
      <c r="P96" s="481"/>
      <c r="Q96" s="481"/>
      <c r="R96" s="481"/>
      <c r="S96" s="481"/>
      <c r="T96" s="481"/>
      <c r="U96" s="481"/>
      <c r="V96" s="451"/>
      <c r="W96" s="451"/>
      <c r="X96" s="481"/>
      <c r="Y96" s="481"/>
      <c r="Z96" s="481"/>
      <c r="AA96" s="481"/>
      <c r="AB96" s="481"/>
      <c r="AC96" s="481"/>
      <c r="AD96" s="481"/>
      <c r="AE96" s="481"/>
      <c r="AF96" s="451"/>
    </row>
    <row r="97" spans="1:32" customFormat="1">
      <c r="A97" s="451"/>
      <c r="B97" s="452">
        <v>2011</v>
      </c>
      <c r="C97" s="524">
        <f t="shared" si="66"/>
        <v>0</v>
      </c>
      <c r="D97" s="524">
        <f t="shared" si="67"/>
        <v>79714.872594524932</v>
      </c>
      <c r="E97" s="524">
        <f t="shared" si="68"/>
        <v>1171.3194382685876</v>
      </c>
      <c r="F97" s="524">
        <f t="shared" si="69"/>
        <v>9176.624184012866</v>
      </c>
      <c r="G97" s="524">
        <f t="shared" si="70"/>
        <v>0</v>
      </c>
      <c r="H97" s="524">
        <f t="shared" si="71"/>
        <v>308.51768899239033</v>
      </c>
      <c r="I97" s="524">
        <f t="shared" si="72"/>
        <v>263312.68189601193</v>
      </c>
      <c r="J97" s="524">
        <f t="shared" si="73"/>
        <v>11659.329322397583</v>
      </c>
      <c r="K97" s="525">
        <f t="shared" si="74"/>
        <v>365343.34512420831</v>
      </c>
      <c r="L97" s="451"/>
      <c r="M97" s="451"/>
      <c r="N97" s="481"/>
      <c r="O97" s="481"/>
      <c r="P97" s="481"/>
      <c r="Q97" s="481"/>
      <c r="R97" s="481"/>
      <c r="S97" s="481"/>
      <c r="T97" s="481"/>
      <c r="U97" s="481"/>
      <c r="V97" s="451"/>
      <c r="W97" s="451"/>
      <c r="X97" s="481"/>
      <c r="Y97" s="481"/>
      <c r="Z97" s="481"/>
      <c r="AA97" s="481"/>
      <c r="AB97" s="481"/>
      <c r="AC97" s="481"/>
      <c r="AD97" s="481"/>
      <c r="AE97" s="481"/>
      <c r="AF97" s="451"/>
    </row>
    <row r="98" spans="1:32" customFormat="1">
      <c r="A98" s="451"/>
      <c r="B98" s="452">
        <v>2012</v>
      </c>
      <c r="C98" s="524">
        <f t="shared" si="66"/>
        <v>0</v>
      </c>
      <c r="D98" s="524">
        <f t="shared" si="67"/>
        <v>80590.095229729137</v>
      </c>
      <c r="E98" s="524">
        <f t="shared" si="68"/>
        <v>1184.8128119685452</v>
      </c>
      <c r="F98" s="524">
        <f t="shared" si="69"/>
        <v>9345.7395739768508</v>
      </c>
      <c r="G98" s="524">
        <f t="shared" si="70"/>
        <v>0</v>
      </c>
      <c r="H98" s="524">
        <f t="shared" si="71"/>
        <v>309.43679801668856</v>
      </c>
      <c r="I98" s="524">
        <f t="shared" si="72"/>
        <v>267917.39854122489</v>
      </c>
      <c r="J98" s="524">
        <f t="shared" si="73"/>
        <v>11995.595556820383</v>
      </c>
      <c r="K98" s="525">
        <f t="shared" si="74"/>
        <v>371343.07851173647</v>
      </c>
      <c r="L98" s="451"/>
      <c r="M98" s="451"/>
      <c r="N98" s="481"/>
      <c r="O98" s="481"/>
      <c r="P98" s="481"/>
      <c r="Q98" s="481"/>
      <c r="R98" s="481"/>
      <c r="S98" s="481"/>
      <c r="T98" s="481"/>
      <c r="U98" s="481"/>
      <c r="V98" s="451"/>
      <c r="W98" s="451"/>
      <c r="X98" s="481"/>
      <c r="Y98" s="481"/>
      <c r="Z98" s="481"/>
      <c r="AA98" s="481"/>
      <c r="AB98" s="481"/>
      <c r="AC98" s="481"/>
      <c r="AD98" s="481"/>
      <c r="AE98" s="481"/>
      <c r="AF98" s="451"/>
    </row>
    <row r="99" spans="1:32" customFormat="1">
      <c r="A99" s="451"/>
      <c r="B99" s="452">
        <v>2013</v>
      </c>
      <c r="C99" s="481">
        <f t="shared" ref="C99:J99" si="75">X69</f>
        <v>0</v>
      </c>
      <c r="D99" s="481">
        <f t="shared" si="75"/>
        <v>86619.462229283934</v>
      </c>
      <c r="E99" s="481">
        <f t="shared" si="75"/>
        <v>1252.1067537039921</v>
      </c>
      <c r="F99" s="481">
        <f t="shared" si="75"/>
        <v>10101.010101010103</v>
      </c>
      <c r="G99" s="481">
        <f t="shared" si="75"/>
        <v>0</v>
      </c>
      <c r="H99" s="481">
        <f t="shared" si="75"/>
        <v>314.31714600031438</v>
      </c>
      <c r="I99" s="481">
        <f t="shared" si="75"/>
        <v>299206.34920634923</v>
      </c>
      <c r="J99" s="481">
        <f t="shared" si="75"/>
        <v>12889.307387710151</v>
      </c>
      <c r="K99" s="525">
        <f t="shared" si="74"/>
        <v>410382.5528240577</v>
      </c>
      <c r="L99" s="451"/>
      <c r="M99" s="451"/>
      <c r="N99" s="481"/>
      <c r="O99" s="481"/>
      <c r="P99" s="481"/>
      <c r="Q99" s="481"/>
      <c r="R99" s="481"/>
      <c r="S99" s="481"/>
      <c r="T99" s="481"/>
      <c r="U99" s="481"/>
      <c r="V99" s="451"/>
      <c r="W99" s="451"/>
      <c r="X99" s="481"/>
      <c r="Y99" s="481"/>
      <c r="Z99" s="481"/>
      <c r="AA99" s="481"/>
      <c r="AB99" s="481"/>
      <c r="AC99" s="481"/>
      <c r="AD99" s="481"/>
      <c r="AE99" s="481"/>
      <c r="AF99" s="451"/>
    </row>
    <row r="100" spans="1:32" customFormat="1">
      <c r="A100" s="451"/>
      <c r="B100" s="452">
        <v>2014</v>
      </c>
      <c r="C100" s="528">
        <f>AVERAGE(C99,C101)</f>
        <v>0</v>
      </c>
      <c r="D100" s="528">
        <f t="shared" ref="D100:J100" si="76">AVERAGE(D99,D101)</f>
        <v>53133.83727538251</v>
      </c>
      <c r="E100" s="528">
        <f t="shared" si="76"/>
        <v>1440.6689896242983</v>
      </c>
      <c r="F100" s="528">
        <f t="shared" si="76"/>
        <v>5050.5050505050513</v>
      </c>
      <c r="G100" s="528">
        <f t="shared" si="76"/>
        <v>0</v>
      </c>
      <c r="H100" s="528">
        <f t="shared" si="76"/>
        <v>2371.4442872858717</v>
      </c>
      <c r="I100" s="528">
        <f t="shared" si="76"/>
        <v>207396.03174603177</v>
      </c>
      <c r="J100" s="528">
        <f t="shared" si="76"/>
        <v>14930.038081082774</v>
      </c>
      <c r="K100" s="525">
        <f t="shared" si="74"/>
        <v>284322.52542991226</v>
      </c>
      <c r="L100" s="451"/>
      <c r="M100" s="451"/>
      <c r="N100" s="481"/>
      <c r="O100" s="481"/>
      <c r="P100" s="481"/>
      <c r="Q100" s="481"/>
      <c r="R100" s="481"/>
      <c r="S100" s="481"/>
      <c r="T100" s="481"/>
      <c r="U100" s="481"/>
      <c r="V100" s="451"/>
      <c r="W100" s="451"/>
      <c r="X100" s="481"/>
      <c r="Y100" s="481"/>
      <c r="Z100" s="481"/>
      <c r="AA100" s="481"/>
      <c r="AB100" s="481"/>
      <c r="AC100" s="481"/>
      <c r="AD100" s="481"/>
      <c r="AE100" s="481"/>
      <c r="AF100" s="451"/>
    </row>
    <row r="101" spans="1:32" customFormat="1">
      <c r="A101" s="451"/>
      <c r="B101" s="452">
        <v>2015</v>
      </c>
      <c r="C101" s="481">
        <f t="shared" ref="C101:J101" si="77">N69</f>
        <v>0</v>
      </c>
      <c r="D101" s="481">
        <f t="shared" si="77"/>
        <v>19648.212321481078</v>
      </c>
      <c r="E101" s="481">
        <f t="shared" si="77"/>
        <v>1629.2312255446043</v>
      </c>
      <c r="F101" s="481">
        <f t="shared" si="77"/>
        <v>0</v>
      </c>
      <c r="G101" s="481">
        <f t="shared" si="77"/>
        <v>0</v>
      </c>
      <c r="H101" s="481">
        <f t="shared" si="77"/>
        <v>4428.5714285714294</v>
      </c>
      <c r="I101" s="481">
        <f t="shared" si="77"/>
        <v>115585.71428571429</v>
      </c>
      <c r="J101" s="481">
        <f t="shared" si="77"/>
        <v>16970.768774455399</v>
      </c>
      <c r="K101" s="525">
        <f t="shared" si="74"/>
        <v>158262.49803576682</v>
      </c>
      <c r="L101" s="451"/>
      <c r="M101" s="451"/>
      <c r="N101" s="481"/>
      <c r="O101" s="481"/>
      <c r="P101" s="481"/>
      <c r="Q101" s="481"/>
      <c r="R101" s="481"/>
      <c r="S101" s="481"/>
      <c r="T101" s="481"/>
      <c r="U101" s="481"/>
      <c r="V101" s="451"/>
      <c r="W101" s="451"/>
      <c r="X101" s="481"/>
      <c r="Y101" s="481"/>
      <c r="Z101" s="481"/>
      <c r="AA101" s="481"/>
      <c r="AB101" s="481"/>
      <c r="AC101" s="481"/>
      <c r="AD101" s="481"/>
      <c r="AE101" s="481"/>
      <c r="AF101" s="451"/>
    </row>
    <row r="102" spans="1:32" customFormat="1">
      <c r="A102" s="451"/>
      <c r="B102" s="452">
        <v>2016</v>
      </c>
      <c r="C102" s="528">
        <f>AVERAGE(C101,C103)</f>
        <v>0</v>
      </c>
      <c r="D102" s="528">
        <f t="shared" ref="D102:J102" si="78">AVERAGE(D101,D103)</f>
        <v>19166.96330359768</v>
      </c>
      <c r="E102" s="528">
        <f t="shared" si="78"/>
        <v>3617.4727556294451</v>
      </c>
      <c r="F102" s="528">
        <f t="shared" si="78"/>
        <v>0</v>
      </c>
      <c r="G102" s="528">
        <f t="shared" si="78"/>
        <v>0</v>
      </c>
      <c r="H102" s="528">
        <f t="shared" si="78"/>
        <v>2214.2857142857147</v>
      </c>
      <c r="I102" s="528">
        <f t="shared" si="78"/>
        <v>60206.428571428572</v>
      </c>
      <c r="J102" s="528">
        <f t="shared" si="78"/>
        <v>21098.241530084844</v>
      </c>
      <c r="K102" s="525">
        <f t="shared" si="74"/>
        <v>106303.39187502625</v>
      </c>
      <c r="L102" s="451"/>
      <c r="M102" s="451"/>
      <c r="N102" s="481"/>
      <c r="O102" s="481"/>
      <c r="P102" s="481"/>
      <c r="Q102" s="481"/>
      <c r="R102" s="481"/>
      <c r="S102" s="481"/>
      <c r="T102" s="481"/>
      <c r="U102" s="481"/>
      <c r="V102" s="451"/>
      <c r="W102" s="451"/>
      <c r="X102" s="481"/>
      <c r="Y102" s="481"/>
      <c r="Z102" s="481"/>
      <c r="AA102" s="481"/>
      <c r="AB102" s="481"/>
      <c r="AC102" s="481"/>
      <c r="AD102" s="481"/>
      <c r="AE102" s="481"/>
      <c r="AF102" s="451"/>
    </row>
    <row r="103" spans="1:32" customFormat="1">
      <c r="A103" s="451"/>
      <c r="B103" s="452">
        <v>2017</v>
      </c>
      <c r="C103" s="529">
        <v>0</v>
      </c>
      <c r="D103" s="529">
        <v>18685.714285714286</v>
      </c>
      <c r="E103" s="529">
        <v>5605.7142857142862</v>
      </c>
      <c r="F103" s="529">
        <v>0</v>
      </c>
      <c r="G103" s="529">
        <v>0</v>
      </c>
      <c r="H103" s="529">
        <v>0</v>
      </c>
      <c r="I103" s="529">
        <v>4827.1428571428578</v>
      </c>
      <c r="J103" s="529">
        <v>25225.714285714286</v>
      </c>
      <c r="K103" s="525">
        <f t="shared" si="74"/>
        <v>54344.285714285717</v>
      </c>
      <c r="L103" s="451"/>
      <c r="M103" s="451" t="s">
        <v>646</v>
      </c>
      <c r="N103" s="529"/>
      <c r="O103" s="529"/>
      <c r="P103" s="529"/>
      <c r="Q103" s="529"/>
      <c r="R103" s="529"/>
      <c r="S103" s="529"/>
      <c r="T103" s="529"/>
      <c r="U103" s="529"/>
      <c r="V103" s="451"/>
      <c r="W103" s="451"/>
      <c r="X103" s="529"/>
      <c r="Y103" s="529"/>
      <c r="Z103" s="529"/>
      <c r="AA103" s="529"/>
      <c r="AB103" s="529"/>
      <c r="AC103" s="529"/>
      <c r="AD103" s="529"/>
      <c r="AE103" s="529"/>
      <c r="AF103" s="451"/>
    </row>
    <row r="104" spans="1:32" customFormat="1">
      <c r="A104" s="451"/>
      <c r="B104" s="452"/>
      <c r="C104" s="481"/>
      <c r="D104" s="481"/>
      <c r="E104" s="481"/>
      <c r="F104" s="481"/>
      <c r="G104" s="481"/>
      <c r="H104" s="481"/>
      <c r="I104" s="481"/>
      <c r="J104" s="481"/>
      <c r="K104" s="451"/>
      <c r="L104" s="451"/>
      <c r="M104" s="451"/>
      <c r="N104" s="481"/>
      <c r="O104" s="481"/>
      <c r="P104" s="481"/>
      <c r="Q104" s="481"/>
      <c r="R104" s="481"/>
      <c r="S104" s="481"/>
      <c r="T104" s="481"/>
      <c r="U104" s="481"/>
      <c r="V104" s="451"/>
      <c r="W104" s="451"/>
      <c r="X104" s="481"/>
      <c r="Y104" s="481"/>
      <c r="Z104" s="481"/>
      <c r="AA104" s="481"/>
      <c r="AB104" s="481"/>
      <c r="AC104" s="481"/>
      <c r="AD104" s="481"/>
      <c r="AE104" s="481"/>
      <c r="AF104" s="451"/>
    </row>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477973-9ED4-A347-9F48-CC2627F26502}">
  <sheetPr>
    <tabColor rgb="FFFFFF00"/>
  </sheetPr>
  <dimension ref="A1:BE91"/>
  <sheetViews>
    <sheetView showWhiteSpace="0" zoomScale="90" zoomScaleNormal="90" workbookViewId="0">
      <pane ySplit="2" topLeftCell="A3" activePane="bottomLeft" state="frozen"/>
      <selection pane="bottomLeft" activeCell="A3" sqref="A3"/>
    </sheetView>
  </sheetViews>
  <sheetFormatPr defaultColWidth="7.7109375" defaultRowHeight="12.75"/>
  <cols>
    <col min="1" max="1" width="1.42578125" style="270" customWidth="1"/>
    <col min="2" max="2" width="50.42578125" style="270" customWidth="1"/>
    <col min="3" max="3" width="3" style="270" customWidth="1"/>
    <col min="4" max="6" width="10" style="270" customWidth="1"/>
    <col min="7" max="7" width="9.85546875" style="270" bestFit="1" customWidth="1"/>
    <col min="8" max="12" width="9.42578125" style="270" customWidth="1"/>
    <col min="13" max="57" width="9" style="270" customWidth="1"/>
    <col min="58" max="16384" width="7.7109375" style="270"/>
  </cols>
  <sheetData>
    <row r="1" spans="1:57" s="261" customFormat="1" ht="18.75">
      <c r="A1" s="260" t="s">
        <v>749</v>
      </c>
    </row>
    <row r="2" spans="1:57" ht="7.5" customHeight="1">
      <c r="D2" s="554"/>
      <c r="E2" s="554"/>
      <c r="F2" s="554"/>
      <c r="G2" s="554"/>
      <c r="H2" s="554"/>
      <c r="I2" s="554"/>
      <c r="J2" s="554"/>
      <c r="K2" s="554"/>
      <c r="L2" s="554"/>
    </row>
    <row r="3" spans="1:57" s="541" customFormat="1" ht="15.75">
      <c r="A3" s="540" t="s">
        <v>652</v>
      </c>
    </row>
    <row r="4" spans="1:57">
      <c r="C4" s="543" t="s">
        <v>728</v>
      </c>
      <c r="D4" s="590" t="s">
        <v>729</v>
      </c>
    </row>
    <row r="5" spans="1:57">
      <c r="C5" s="543" t="s">
        <v>731</v>
      </c>
      <c r="D5" s="590" t="s">
        <v>732</v>
      </c>
    </row>
    <row r="6" spans="1:57" s="589" customFormat="1" ht="15.75">
      <c r="A6" s="588" t="s">
        <v>653</v>
      </c>
    </row>
    <row r="7" spans="1:57" s="542" customFormat="1" ht="12.75" customHeight="1">
      <c r="C7" s="543" t="s">
        <v>654</v>
      </c>
      <c r="D7" s="270" t="s">
        <v>655</v>
      </c>
    </row>
    <row r="8" spans="1:57">
      <c r="A8" s="272" t="s">
        <v>656</v>
      </c>
      <c r="D8" s="544" t="s">
        <v>657</v>
      </c>
      <c r="E8" s="544" t="s">
        <v>658</v>
      </c>
      <c r="F8" s="544" t="s">
        <v>659</v>
      </c>
      <c r="G8" s="544" t="s">
        <v>660</v>
      </c>
      <c r="H8" s="544" t="s">
        <v>661</v>
      </c>
      <c r="I8" s="544" t="s">
        <v>662</v>
      </c>
      <c r="J8" s="544" t="s">
        <v>663</v>
      </c>
      <c r="K8" s="544" t="s">
        <v>664</v>
      </c>
      <c r="L8" s="544" t="s">
        <v>665</v>
      </c>
      <c r="M8" s="544" t="s">
        <v>666</v>
      </c>
      <c r="N8" s="544" t="s">
        <v>667</v>
      </c>
      <c r="O8" s="544" t="s">
        <v>668</v>
      </c>
      <c r="P8" s="544" t="s">
        <v>669</v>
      </c>
    </row>
    <row r="9" spans="1:57">
      <c r="A9" s="270" t="s">
        <v>670</v>
      </c>
      <c r="C9" s="270" t="s">
        <v>671</v>
      </c>
      <c r="D9" s="545">
        <v>62.683792500000003</v>
      </c>
      <c r="E9" s="545">
        <v>63.463257470000002</v>
      </c>
      <c r="F9" s="545">
        <v>64.055053189999995</v>
      </c>
      <c r="G9" s="545">
        <v>67.809573499999999</v>
      </c>
      <c r="H9" s="545">
        <v>68.826760399999998</v>
      </c>
      <c r="I9" s="545">
        <v>72.895283000000006</v>
      </c>
      <c r="J9" s="545">
        <v>78.942481139999998</v>
      </c>
      <c r="K9" s="545">
        <v>80.282249641999996</v>
      </c>
      <c r="L9" s="545">
        <v>80.30503066</v>
      </c>
      <c r="M9" s="545">
        <v>81.455895709999993</v>
      </c>
      <c r="N9" s="545">
        <v>84.899444002899997</v>
      </c>
      <c r="O9" s="545">
        <v>94.966954999999999</v>
      </c>
      <c r="P9" s="545">
        <v>99.414333200000002</v>
      </c>
    </row>
    <row r="10" spans="1:57">
      <c r="A10" s="270" t="s">
        <v>672</v>
      </c>
      <c r="C10" s="270" t="s">
        <v>673</v>
      </c>
      <c r="D10" s="545">
        <v>18505.817999999999</v>
      </c>
      <c r="E10" s="545">
        <v>19358.579000000002</v>
      </c>
      <c r="F10" s="545">
        <v>19596.879000000001</v>
      </c>
      <c r="G10" s="545">
        <v>20056.624</v>
      </c>
      <c r="H10" s="545">
        <v>19543.994999999999</v>
      </c>
      <c r="I10" s="545">
        <v>20079.738964788001</v>
      </c>
      <c r="J10" s="545">
        <v>21644.52188</v>
      </c>
      <c r="K10" s="545">
        <v>21531.901020000001</v>
      </c>
      <c r="L10" s="545">
        <v>19896.196769999999</v>
      </c>
      <c r="M10" s="545">
        <v>20550.298150572598</v>
      </c>
      <c r="N10" s="545">
        <v>20599.232984288901</v>
      </c>
      <c r="O10" s="545">
        <v>20279.694103313399</v>
      </c>
      <c r="P10" s="545">
        <v>20103.046184999999</v>
      </c>
    </row>
    <row r="11" spans="1:57">
      <c r="A11" s="270" t="s">
        <v>674</v>
      </c>
      <c r="C11" s="270" t="s">
        <v>673</v>
      </c>
      <c r="D11" s="545">
        <v>1956.511</v>
      </c>
      <c r="E11" s="545">
        <v>1964.014044</v>
      </c>
      <c r="F11" s="545">
        <v>1973.5531490000001</v>
      </c>
      <c r="G11" s="545">
        <v>1918.211018</v>
      </c>
      <c r="H11" s="545">
        <v>1937.574472</v>
      </c>
      <c r="I11" s="545">
        <v>1937.59113905966</v>
      </c>
      <c r="J11" s="545">
        <v>1788.4424662849499</v>
      </c>
      <c r="K11" s="545">
        <v>1773.3708801395701</v>
      </c>
      <c r="L11" s="545">
        <v>1647.227034</v>
      </c>
      <c r="M11" s="545">
        <v>1647.1720049999999</v>
      </c>
      <c r="N11" s="545">
        <v>1518.8927039846401</v>
      </c>
      <c r="O11" s="545">
        <v>1564.22145091115</v>
      </c>
      <c r="P11" s="545">
        <v>1572.7767517314501</v>
      </c>
    </row>
    <row r="13" spans="1:57" ht="15">
      <c r="C13" s="543" t="s">
        <v>654</v>
      </c>
      <c r="D13" s="270" t="s">
        <v>675</v>
      </c>
    </row>
    <row r="14" spans="1:57">
      <c r="A14" s="272" t="s">
        <v>676</v>
      </c>
      <c r="D14" s="546" t="s">
        <v>86</v>
      </c>
      <c r="E14" s="546" t="s">
        <v>86</v>
      </c>
      <c r="F14" s="546" t="s">
        <v>86</v>
      </c>
      <c r="G14" s="546" t="s">
        <v>86</v>
      </c>
      <c r="H14" s="546" t="s">
        <v>83</v>
      </c>
      <c r="I14" s="546" t="s">
        <v>83</v>
      </c>
      <c r="J14" s="546" t="s">
        <v>83</v>
      </c>
      <c r="K14" s="546" t="s">
        <v>83</v>
      </c>
      <c r="L14" s="546" t="s">
        <v>82</v>
      </c>
      <c r="M14" s="546" t="s">
        <v>82</v>
      </c>
      <c r="N14" s="546" t="s">
        <v>82</v>
      </c>
      <c r="O14" s="546" t="s">
        <v>82</v>
      </c>
      <c r="P14" s="546" t="s">
        <v>81</v>
      </c>
      <c r="Q14" s="546" t="s">
        <v>81</v>
      </c>
      <c r="R14" s="546" t="s">
        <v>81</v>
      </c>
      <c r="S14" s="546" t="s">
        <v>81</v>
      </c>
      <c r="T14" s="546" t="s">
        <v>80</v>
      </c>
      <c r="U14" s="546" t="s">
        <v>80</v>
      </c>
      <c r="V14" s="546" t="s">
        <v>80</v>
      </c>
      <c r="W14" s="546" t="s">
        <v>80</v>
      </c>
      <c r="X14" s="546" t="s">
        <v>79</v>
      </c>
      <c r="Y14" s="546" t="s">
        <v>79</v>
      </c>
      <c r="Z14" s="546" t="s">
        <v>79</v>
      </c>
      <c r="AA14" s="546" t="s">
        <v>79</v>
      </c>
      <c r="AB14" s="546" t="s">
        <v>78</v>
      </c>
      <c r="AC14" s="546" t="s">
        <v>78</v>
      </c>
      <c r="AD14" s="546" t="s">
        <v>78</v>
      </c>
      <c r="AE14" s="546" t="s">
        <v>78</v>
      </c>
      <c r="AF14" s="546" t="s">
        <v>77</v>
      </c>
      <c r="AG14" s="546" t="s">
        <v>77</v>
      </c>
      <c r="AH14" s="546" t="s">
        <v>77</v>
      </c>
      <c r="AI14" s="546" t="s">
        <v>77</v>
      </c>
      <c r="AJ14" s="546" t="s">
        <v>76</v>
      </c>
      <c r="AK14" s="546" t="s">
        <v>76</v>
      </c>
      <c r="AL14" s="546" t="s">
        <v>76</v>
      </c>
      <c r="AM14" s="546" t="s">
        <v>76</v>
      </c>
    </row>
    <row r="15" spans="1:57">
      <c r="A15" s="270" t="s">
        <v>677</v>
      </c>
      <c r="D15" s="547">
        <v>38961</v>
      </c>
      <c r="E15" s="547">
        <v>39052</v>
      </c>
      <c r="F15" s="547">
        <v>39142</v>
      </c>
      <c r="G15" s="547">
        <v>39234</v>
      </c>
      <c r="H15" s="547">
        <v>39326</v>
      </c>
      <c r="I15" s="547">
        <v>39417</v>
      </c>
      <c r="J15" s="547">
        <v>39508</v>
      </c>
      <c r="K15" s="547">
        <v>39600</v>
      </c>
      <c r="L15" s="547">
        <v>39692</v>
      </c>
      <c r="M15" s="547">
        <v>39783</v>
      </c>
      <c r="N15" s="547">
        <v>39873</v>
      </c>
      <c r="O15" s="547">
        <v>39965</v>
      </c>
      <c r="P15" s="547">
        <v>40057</v>
      </c>
      <c r="Q15" s="547">
        <v>40148</v>
      </c>
      <c r="R15" s="547">
        <v>40238</v>
      </c>
      <c r="S15" s="547">
        <v>40330</v>
      </c>
      <c r="T15" s="547">
        <v>40422</v>
      </c>
      <c r="U15" s="547">
        <v>40513</v>
      </c>
      <c r="V15" s="547">
        <v>40603</v>
      </c>
      <c r="W15" s="547">
        <v>40695</v>
      </c>
      <c r="X15" s="547">
        <v>40787</v>
      </c>
      <c r="Y15" s="547">
        <v>40878</v>
      </c>
      <c r="Z15" s="547">
        <v>40969</v>
      </c>
      <c r="AA15" s="547">
        <v>41061</v>
      </c>
      <c r="AB15" s="547">
        <v>41153</v>
      </c>
      <c r="AC15" s="547">
        <v>41244</v>
      </c>
      <c r="AD15" s="547">
        <v>41334</v>
      </c>
      <c r="AE15" s="547">
        <v>41426</v>
      </c>
      <c r="AF15" s="547">
        <v>41518</v>
      </c>
      <c r="AG15" s="547">
        <v>41609</v>
      </c>
      <c r="AH15" s="547">
        <v>41699</v>
      </c>
      <c r="AI15" s="547">
        <v>41791</v>
      </c>
      <c r="AJ15" s="547">
        <v>41883</v>
      </c>
      <c r="AK15" s="547">
        <v>41974</v>
      </c>
      <c r="AL15" s="547">
        <v>42064</v>
      </c>
      <c r="AM15" s="547">
        <v>42156</v>
      </c>
      <c r="AN15" s="547">
        <v>42248</v>
      </c>
      <c r="AO15" s="547">
        <v>42339</v>
      </c>
      <c r="AP15" s="547">
        <v>42430</v>
      </c>
      <c r="AQ15" s="547">
        <v>42522</v>
      </c>
      <c r="AR15" s="547">
        <v>42614</v>
      </c>
      <c r="AS15" s="547">
        <v>42705</v>
      </c>
      <c r="AT15" s="547">
        <v>42795</v>
      </c>
      <c r="AU15" s="547">
        <v>42887</v>
      </c>
      <c r="AV15" s="547">
        <v>42979</v>
      </c>
      <c r="AW15" s="547">
        <v>43070</v>
      </c>
      <c r="AX15" s="547">
        <v>43160</v>
      </c>
      <c r="AY15" s="547">
        <v>43252</v>
      </c>
      <c r="AZ15" s="547">
        <v>43344</v>
      </c>
      <c r="BA15" s="547">
        <v>43435</v>
      </c>
      <c r="BB15" s="547">
        <v>43525</v>
      </c>
      <c r="BC15" s="547">
        <v>43617</v>
      </c>
      <c r="BD15" s="547">
        <v>43709</v>
      </c>
      <c r="BE15" s="547">
        <v>43800</v>
      </c>
    </row>
    <row r="16" spans="1:57">
      <c r="B16" s="270" t="s">
        <v>678</v>
      </c>
      <c r="C16" s="270" t="s">
        <v>673</v>
      </c>
      <c r="D16" s="545">
        <v>4085</v>
      </c>
      <c r="E16" s="545">
        <v>4487</v>
      </c>
      <c r="F16" s="545">
        <v>4272</v>
      </c>
      <c r="G16" s="545">
        <v>4125</v>
      </c>
      <c r="H16" s="545">
        <v>4095.4267500000001</v>
      </c>
      <c r="I16" s="545">
        <v>4285.3449199999995</v>
      </c>
      <c r="J16" s="545">
        <v>4215.18</v>
      </c>
      <c r="K16" s="545">
        <v>4218.4399999999996</v>
      </c>
      <c r="L16" s="545">
        <v>4095.4267500000001</v>
      </c>
      <c r="M16" s="545">
        <v>4285.3449199999995</v>
      </c>
      <c r="N16" s="548">
        <v>4085.4307199999998</v>
      </c>
      <c r="O16" s="545">
        <v>3929</v>
      </c>
      <c r="P16" s="545">
        <v>3949</v>
      </c>
      <c r="Q16" s="545">
        <v>4942</v>
      </c>
      <c r="R16" s="545">
        <v>4549.7649000000001</v>
      </c>
      <c r="S16" s="545">
        <v>4266.1351000000004</v>
      </c>
      <c r="T16" s="545">
        <v>4961.924</v>
      </c>
      <c r="U16" s="545">
        <v>4813</v>
      </c>
      <c r="V16" s="545">
        <v>4668.32</v>
      </c>
      <c r="W16" s="545">
        <v>5061.1030000000001</v>
      </c>
      <c r="X16" s="545">
        <v>5402.6030000000001</v>
      </c>
      <c r="Y16" s="545">
        <v>5600</v>
      </c>
      <c r="Z16" s="545">
        <v>4973.9799999999996</v>
      </c>
      <c r="AA16" s="545">
        <v>5585.9219999999996</v>
      </c>
      <c r="AB16" s="545">
        <v>6179.1352800000004</v>
      </c>
      <c r="AC16" s="545">
        <v>6517.8389900000002</v>
      </c>
      <c r="AD16" s="545">
        <v>5783.1629699999903</v>
      </c>
      <c r="AE16" s="545">
        <v>6800</v>
      </c>
      <c r="AF16" s="545">
        <v>6971.2421599999998</v>
      </c>
      <c r="AG16" s="545">
        <v>6787.1550499999903</v>
      </c>
      <c r="AH16" s="545">
        <v>6115.848</v>
      </c>
      <c r="AI16" s="545">
        <v>6362.732</v>
      </c>
      <c r="AJ16" s="545">
        <v>6843.6570000000002</v>
      </c>
      <c r="AK16" s="545">
        <v>6944.0640000000003</v>
      </c>
      <c r="AL16" s="545">
        <v>6704.3069999999998</v>
      </c>
      <c r="AM16" s="545">
        <v>6941.4870000000001</v>
      </c>
      <c r="AN16" s="545">
        <v>7118.5959999999995</v>
      </c>
      <c r="AO16" s="545">
        <v>6898.8609999999999</v>
      </c>
      <c r="AP16" s="545">
        <v>6524.45</v>
      </c>
      <c r="AQ16" s="545">
        <v>7559.7280000000001</v>
      </c>
      <c r="AR16" s="545">
        <v>7641.9830000000002</v>
      </c>
      <c r="AS16" s="545">
        <v>7700.4639999999999</v>
      </c>
      <c r="AT16" s="545">
        <v>6893.2690000000002</v>
      </c>
      <c r="AU16" s="545">
        <v>7805.4490028999999</v>
      </c>
      <c r="AV16" s="545">
        <v>7895.4880000000003</v>
      </c>
      <c r="AW16" s="545">
        <v>8303.5740000000005</v>
      </c>
      <c r="AX16" s="545">
        <v>7431</v>
      </c>
      <c r="AY16" s="545">
        <v>8400</v>
      </c>
      <c r="AZ16" s="545">
        <v>9029.3330000000005</v>
      </c>
      <c r="BA16" s="545">
        <v>7590</v>
      </c>
      <c r="BB16" s="545">
        <v>9796.4845999999998</v>
      </c>
      <c r="BC16" s="545">
        <v>9412.8242900000005</v>
      </c>
      <c r="BD16" s="545">
        <v>10114.570922000001</v>
      </c>
      <c r="BE16" s="545">
        <v>11470.717144</v>
      </c>
    </row>
    <row r="17" spans="1:57">
      <c r="B17" s="270" t="s">
        <v>679</v>
      </c>
      <c r="C17" s="270" t="s">
        <v>673</v>
      </c>
      <c r="D17" s="545">
        <v>10738.407999999999</v>
      </c>
      <c r="E17" s="545">
        <v>10290.115</v>
      </c>
      <c r="F17" s="545">
        <v>9925.1460000000006</v>
      </c>
      <c r="G17" s="545">
        <v>10408.9825</v>
      </c>
      <c r="H17" s="545">
        <v>10211.224899999999</v>
      </c>
      <c r="I17" s="545">
        <v>10414.7399</v>
      </c>
      <c r="J17" s="545">
        <v>10363.325000000001</v>
      </c>
      <c r="K17" s="545">
        <v>10408.587</v>
      </c>
      <c r="L17" s="545">
        <v>10211.224899999999</v>
      </c>
      <c r="M17" s="545">
        <v>10414.7399</v>
      </c>
      <c r="N17" s="545">
        <v>10110.628000000001</v>
      </c>
      <c r="O17" s="545">
        <v>10627.379000000001</v>
      </c>
      <c r="P17" s="545">
        <v>10641.532999999999</v>
      </c>
      <c r="Q17" s="545">
        <v>10869.6875</v>
      </c>
      <c r="R17" s="545">
        <v>10732.753500000001</v>
      </c>
      <c r="S17" s="545">
        <v>10655.0815</v>
      </c>
      <c r="T17" s="545">
        <v>10800.583500000001</v>
      </c>
      <c r="U17" s="545">
        <v>10863.8145</v>
      </c>
      <c r="V17" s="545">
        <v>10097.538500000001</v>
      </c>
      <c r="W17" s="545">
        <v>10578.210999999999</v>
      </c>
      <c r="X17" s="545">
        <v>10745</v>
      </c>
      <c r="Y17" s="545">
        <v>10832.5</v>
      </c>
      <c r="Z17" s="545">
        <v>11007.5</v>
      </c>
      <c r="AA17" s="545">
        <v>11182.5</v>
      </c>
      <c r="AB17" s="545">
        <v>11357.5</v>
      </c>
      <c r="AC17" s="545">
        <v>11532.5</v>
      </c>
      <c r="AD17" s="545">
        <v>11235.028</v>
      </c>
      <c r="AE17" s="545">
        <v>11607.886500000001</v>
      </c>
      <c r="AF17" s="545">
        <v>11795.755999999999</v>
      </c>
      <c r="AG17" s="545">
        <v>12110.406000000001</v>
      </c>
      <c r="AH17" s="545">
        <v>11265.192800000001</v>
      </c>
      <c r="AI17" s="545">
        <v>11390</v>
      </c>
      <c r="AJ17" s="545">
        <v>11233.6</v>
      </c>
      <c r="AK17" s="545">
        <v>11947.6</v>
      </c>
      <c r="AL17" s="545">
        <v>11187.8598</v>
      </c>
      <c r="AM17" s="545">
        <v>11631.6865</v>
      </c>
      <c r="AN17" s="545">
        <v>11351</v>
      </c>
      <c r="AO17" s="545">
        <v>11578</v>
      </c>
      <c r="AP17" s="545">
        <v>11300</v>
      </c>
      <c r="AQ17" s="545">
        <v>10800</v>
      </c>
      <c r="AR17" s="545">
        <v>11100</v>
      </c>
      <c r="AS17" s="545">
        <v>11800</v>
      </c>
      <c r="AT17" s="545">
        <v>11100</v>
      </c>
      <c r="AU17" s="545">
        <v>11000</v>
      </c>
      <c r="AV17" s="545">
        <v>12393</v>
      </c>
      <c r="AW17" s="545">
        <v>12829</v>
      </c>
      <c r="AX17" s="545">
        <v>12666</v>
      </c>
      <c r="AY17" s="545">
        <v>12618</v>
      </c>
      <c r="AZ17" s="545">
        <v>12394.576999999999</v>
      </c>
      <c r="BA17" s="545">
        <v>13278.023999999999</v>
      </c>
      <c r="BB17" s="545">
        <v>12895</v>
      </c>
      <c r="BC17" s="545">
        <v>12915</v>
      </c>
      <c r="BD17" s="545">
        <v>13185</v>
      </c>
      <c r="BE17" s="545">
        <v>13185</v>
      </c>
    </row>
    <row r="18" spans="1:57">
      <c r="B18" s="270" t="s">
        <v>680</v>
      </c>
      <c r="C18" s="270" t="s">
        <v>673</v>
      </c>
      <c r="D18" s="545">
        <v>1162.1949999999999</v>
      </c>
      <c r="E18" s="545">
        <v>1011.9880000000001</v>
      </c>
      <c r="F18" s="545">
        <v>1090.598</v>
      </c>
      <c r="G18" s="545">
        <v>1087.3599999999999</v>
      </c>
      <c r="H18" s="545">
        <v>1119.0039999999999</v>
      </c>
      <c r="I18" s="545">
        <v>1363.412</v>
      </c>
      <c r="J18" s="545">
        <v>1326.876</v>
      </c>
      <c r="K18" s="545">
        <v>1441.6969999999999</v>
      </c>
      <c r="L18" s="545">
        <v>1447.3150000000001</v>
      </c>
      <c r="M18" s="545">
        <v>1609.431</v>
      </c>
      <c r="N18" s="545">
        <v>1482.2329999999999</v>
      </c>
      <c r="O18" s="545">
        <v>1756.9</v>
      </c>
      <c r="P18" s="545">
        <v>1846.489</v>
      </c>
      <c r="Q18" s="545">
        <v>1928.376</v>
      </c>
      <c r="R18" s="545">
        <v>1808.999</v>
      </c>
      <c r="S18" s="545">
        <v>1619.7539999999999</v>
      </c>
      <c r="T18" s="545">
        <v>1741.1469999999999</v>
      </c>
      <c r="U18" s="545">
        <v>1771</v>
      </c>
      <c r="V18" s="545">
        <v>1664.7469000000001</v>
      </c>
      <c r="W18" s="545">
        <v>1805.3720000000001</v>
      </c>
      <c r="X18" s="545">
        <v>1859.8219999999999</v>
      </c>
      <c r="Y18" s="545">
        <v>1916</v>
      </c>
      <c r="Z18" s="545">
        <v>1862.249</v>
      </c>
      <c r="AA18" s="545">
        <v>1927.2070000000001</v>
      </c>
      <c r="AB18" s="545">
        <v>2086.473</v>
      </c>
      <c r="AC18" s="545">
        <v>2068.4403999999899</v>
      </c>
      <c r="AD18" s="545">
        <v>1917.9860000000001</v>
      </c>
      <c r="AE18" s="545">
        <v>1856.53</v>
      </c>
      <c r="AF18" s="545">
        <v>1983.0222719999999</v>
      </c>
      <c r="AG18" s="545">
        <v>2271</v>
      </c>
      <c r="AH18" s="545">
        <v>1804.33311</v>
      </c>
      <c r="AI18" s="545">
        <v>1425.5622499999999</v>
      </c>
      <c r="AJ18" s="545">
        <v>1724.56836</v>
      </c>
      <c r="AK18" s="545">
        <v>1573.838</v>
      </c>
      <c r="AL18" s="545">
        <v>1709.5630000000001</v>
      </c>
      <c r="AM18" s="545">
        <v>1862.8</v>
      </c>
      <c r="AN18" s="545">
        <v>1965.624</v>
      </c>
      <c r="AO18" s="545">
        <v>1959.4767099999999</v>
      </c>
      <c r="AP18" s="545">
        <v>2214.4580000000001</v>
      </c>
      <c r="AQ18" s="545">
        <v>2185.7020000000002</v>
      </c>
      <c r="AR18" s="545">
        <v>2521.123</v>
      </c>
      <c r="AS18" s="545">
        <v>2169.2399999999998</v>
      </c>
      <c r="AT18" s="545">
        <v>2387.9490000000001</v>
      </c>
      <c r="AU18" s="545">
        <v>2779.9670000000001</v>
      </c>
      <c r="AV18" s="545">
        <v>2808.77</v>
      </c>
      <c r="AW18" s="545">
        <v>3224.123</v>
      </c>
      <c r="AX18" s="545">
        <v>3124</v>
      </c>
      <c r="AY18" s="545">
        <v>3274</v>
      </c>
      <c r="AZ18" s="545">
        <v>2892.5880000000002</v>
      </c>
      <c r="BA18" s="545">
        <v>3250.0709999999999</v>
      </c>
      <c r="BB18" s="545">
        <v>3003.5154000000002</v>
      </c>
      <c r="BC18" s="545">
        <v>2956.9159100000002</v>
      </c>
      <c r="BD18" s="545">
        <v>2968.1368000000002</v>
      </c>
      <c r="BE18" s="545">
        <v>3272.6217999999999</v>
      </c>
    </row>
    <row r="19" spans="1:57">
      <c r="B19" s="270" t="s">
        <v>608</v>
      </c>
      <c r="C19" s="270" t="s">
        <v>673</v>
      </c>
      <c r="D19" s="545">
        <v>15985.602999999999</v>
      </c>
      <c r="E19" s="545">
        <v>15789.102999999999</v>
      </c>
      <c r="F19" s="545">
        <v>15287.744000000001</v>
      </c>
      <c r="G19" s="545">
        <v>15621.342500000001</v>
      </c>
      <c r="H19" s="545">
        <v>15425.655650000001</v>
      </c>
      <c r="I19" s="545">
        <v>16063.49682</v>
      </c>
      <c r="J19" s="545">
        <v>15905.380999999999</v>
      </c>
      <c r="K19" s="545">
        <v>16068.724</v>
      </c>
      <c r="L19" s="545">
        <v>15753.96665</v>
      </c>
      <c r="M19" s="545">
        <v>16309.515820000001</v>
      </c>
      <c r="N19" s="545">
        <v>15678.291719999999</v>
      </c>
      <c r="O19" s="545">
        <v>16313.279</v>
      </c>
      <c r="P19" s="545">
        <v>16437.022000000001</v>
      </c>
      <c r="Q19" s="545">
        <v>17740.0635</v>
      </c>
      <c r="R19" s="545">
        <v>17091.517400000001</v>
      </c>
      <c r="S19" s="545">
        <v>16540.970600000001</v>
      </c>
      <c r="T19" s="545">
        <v>17503.654500000001</v>
      </c>
      <c r="U19" s="545">
        <v>17447.8145</v>
      </c>
      <c r="V19" s="545">
        <v>16430.6054</v>
      </c>
      <c r="W19" s="545">
        <v>17444.686000000002</v>
      </c>
      <c r="X19" s="545">
        <v>18007.424999999999</v>
      </c>
      <c r="Y19" s="545">
        <v>18348.5</v>
      </c>
      <c r="Z19" s="545">
        <v>17843.728999999999</v>
      </c>
      <c r="AA19" s="545">
        <v>18695.629000000001</v>
      </c>
      <c r="AB19" s="545">
        <v>19623.10828</v>
      </c>
      <c r="AC19" s="545">
        <v>20118.77939</v>
      </c>
      <c r="AD19" s="545">
        <v>18936.17697</v>
      </c>
      <c r="AE19" s="545">
        <v>20264.416499999999</v>
      </c>
      <c r="AF19" s="545">
        <v>20750.020432000001</v>
      </c>
      <c r="AG19" s="545">
        <v>21168.56105</v>
      </c>
      <c r="AH19" s="545">
        <v>19185.373909999998</v>
      </c>
      <c r="AI19" s="545">
        <v>19178.294249999999</v>
      </c>
      <c r="AJ19" s="545">
        <v>19801.825359999999</v>
      </c>
      <c r="AK19" s="545">
        <v>20465.502</v>
      </c>
      <c r="AL19" s="545">
        <v>19601.729800000001</v>
      </c>
      <c r="AM19" s="545">
        <v>20435.9735</v>
      </c>
      <c r="AN19" s="545">
        <v>20435.22</v>
      </c>
      <c r="AO19" s="545">
        <v>20436.33771</v>
      </c>
      <c r="AP19" s="545">
        <v>20038.907999999999</v>
      </c>
      <c r="AQ19" s="545">
        <v>20545.43</v>
      </c>
      <c r="AR19" s="545">
        <v>21263.106</v>
      </c>
      <c r="AS19" s="545">
        <v>21669.704000000002</v>
      </c>
      <c r="AT19" s="545">
        <v>20381.218000000001</v>
      </c>
      <c r="AU19" s="545">
        <v>21585.416002900001</v>
      </c>
      <c r="AV19" s="545">
        <v>23097.258000000002</v>
      </c>
      <c r="AW19" s="545">
        <v>24356.697</v>
      </c>
      <c r="AX19" s="545">
        <v>23221</v>
      </c>
      <c r="AY19" s="545">
        <v>24292</v>
      </c>
      <c r="AZ19" s="545">
        <v>24316.498</v>
      </c>
      <c r="BA19" s="545">
        <v>24118.095000000001</v>
      </c>
      <c r="BB19" s="545">
        <v>25695</v>
      </c>
      <c r="BC19" s="545">
        <v>25284.7402</v>
      </c>
      <c r="BD19" s="545">
        <v>26267.707721999999</v>
      </c>
      <c r="BE19" s="545">
        <v>27928.338943999999</v>
      </c>
    </row>
    <row r="20" spans="1:57">
      <c r="B20" s="270" t="s">
        <v>681</v>
      </c>
      <c r="C20" s="270" t="s">
        <v>673</v>
      </c>
      <c r="D20" s="545">
        <v>5873.348414</v>
      </c>
      <c r="E20" s="545">
        <v>5892.6267269999998</v>
      </c>
      <c r="F20" s="545">
        <v>5702.5514569999996</v>
      </c>
      <c r="G20" s="545">
        <v>5755.6396445</v>
      </c>
      <c r="H20" s="545">
        <v>5697.971074</v>
      </c>
      <c r="I20" s="545">
        <v>5977.4344898199997</v>
      </c>
      <c r="J20" s="545">
        <v>5910.1145859999997</v>
      </c>
      <c r="K20" s="545">
        <v>5983.9322288000003</v>
      </c>
      <c r="L20" s="545">
        <v>5864.8939989999999</v>
      </c>
      <c r="M20" s="545">
        <v>6105.1503718200001</v>
      </c>
      <c r="N20" s="545">
        <v>5849.5850701199997</v>
      </c>
      <c r="O20" s="545">
        <v>6048.6218150000004</v>
      </c>
      <c r="P20" s="545">
        <v>6084.5380699999996</v>
      </c>
      <c r="Q20" s="545">
        <v>6731.4552974999997</v>
      </c>
      <c r="R20" s="545">
        <v>6445.6968839000001</v>
      </c>
      <c r="S20" s="545">
        <v>6180.7442541</v>
      </c>
      <c r="T20" s="545">
        <v>6663.1737425000001</v>
      </c>
      <c r="U20" s="545">
        <v>6567.1844162999996</v>
      </c>
      <c r="V20" s="545">
        <v>6257.4099454999996</v>
      </c>
      <c r="W20" s="545">
        <v>6551.5090600000003</v>
      </c>
      <c r="X20" s="545">
        <v>6934.7062379999998</v>
      </c>
      <c r="Y20" s="545">
        <v>7089.4504999999999</v>
      </c>
      <c r="Z20" s="545">
        <v>6773.9989353999999</v>
      </c>
      <c r="AA20" s="545">
        <v>7190.7006563000004</v>
      </c>
      <c r="AB20" s="545">
        <v>7643.4994978799996</v>
      </c>
      <c r="AC20" s="545">
        <v>7869.38058654</v>
      </c>
      <c r="AD20" s="545">
        <v>7308.9930316199998</v>
      </c>
      <c r="AE20" s="545">
        <v>7940.0300024999997</v>
      </c>
      <c r="AF20" s="545">
        <v>8149.6847040000002</v>
      </c>
      <c r="AG20" s="545">
        <v>8281.3973673</v>
      </c>
      <c r="AH20" s="545">
        <v>7442.9778454500001</v>
      </c>
      <c r="AI20" s="545">
        <v>7425.8549857500002</v>
      </c>
      <c r="AJ20" s="545">
        <v>7791.8740601999998</v>
      </c>
      <c r="AK20" s="545">
        <v>7975.5747540000002</v>
      </c>
      <c r="AL20" s="545">
        <v>7695.3253500000001</v>
      </c>
      <c r="AM20" s="545">
        <v>8027.1685545</v>
      </c>
      <c r="AN20" s="545">
        <v>8094.7722960000001</v>
      </c>
      <c r="AO20" s="545">
        <v>8036.44907745</v>
      </c>
      <c r="AP20" s="545">
        <v>7879.00641</v>
      </c>
      <c r="AQ20" s="545">
        <v>8287.5339779999995</v>
      </c>
      <c r="AR20" s="545">
        <v>8583.9786029999996</v>
      </c>
      <c r="AS20" s="545">
        <v>8641.2271440000004</v>
      </c>
      <c r="AT20" s="545">
        <v>8109.2596290000001</v>
      </c>
      <c r="AU20" s="545">
        <v>8772.8588205834003</v>
      </c>
      <c r="AV20" s="545">
        <v>9233.2825979999998</v>
      </c>
      <c r="AW20" s="545">
        <v>9785.9572889999999</v>
      </c>
      <c r="AX20" s="545">
        <v>9213.5159999999996</v>
      </c>
      <c r="AY20" s="545">
        <v>9803.16</v>
      </c>
      <c r="AZ20" s="545">
        <v>9894.3013229999997</v>
      </c>
      <c r="BA20" s="545">
        <v>9537.1619850000006</v>
      </c>
      <c r="BB20" s="545">
        <v>10510.6957146</v>
      </c>
      <c r="BC20" s="545">
        <v>10283.850437790001</v>
      </c>
      <c r="BD20" s="545">
        <v>10749.508439412</v>
      </c>
      <c r="BE20" s="545">
        <v>11640.684351624001</v>
      </c>
    </row>
    <row r="22" spans="1:57">
      <c r="A22" s="270" t="s">
        <v>682</v>
      </c>
    </row>
    <row r="23" spans="1:57">
      <c r="B23" s="270" t="s">
        <v>672</v>
      </c>
      <c r="C23" s="270" t="s">
        <v>673</v>
      </c>
      <c r="D23" s="545">
        <v>4587.7920000000004</v>
      </c>
      <c r="E23" s="545">
        <v>4799.6139999999996</v>
      </c>
      <c r="F23" s="545">
        <v>4447.3710000000001</v>
      </c>
      <c r="G23" s="545">
        <v>4671.0410000000002</v>
      </c>
      <c r="H23" s="545">
        <v>4801.8090000000002</v>
      </c>
      <c r="I23" s="545">
        <v>4923.6090000000004</v>
      </c>
      <c r="J23" s="545">
        <v>4792.0240000000003</v>
      </c>
      <c r="K23" s="545">
        <v>4841.1369999999997</v>
      </c>
      <c r="L23" s="545">
        <v>4813.027</v>
      </c>
      <c r="M23" s="545">
        <v>4999.8869999999997</v>
      </c>
      <c r="N23" s="545">
        <v>4809.5709999999999</v>
      </c>
      <c r="O23" s="545">
        <v>4974.3940000000002</v>
      </c>
      <c r="P23" s="545">
        <v>5038.01</v>
      </c>
      <c r="Q23" s="545">
        <v>5117.6279999999997</v>
      </c>
      <c r="R23" s="545">
        <v>4951.0630000000001</v>
      </c>
      <c r="S23" s="545">
        <v>4949.9229999999998</v>
      </c>
      <c r="T23" s="545">
        <v>5060.8440000000001</v>
      </c>
      <c r="U23" s="545">
        <v>5028.174</v>
      </c>
      <c r="V23" s="545">
        <v>4620.0619999999999</v>
      </c>
      <c r="W23" s="545">
        <v>4834.915</v>
      </c>
      <c r="X23" s="545">
        <v>4891.7068099999997</v>
      </c>
      <c r="Y23" s="545">
        <v>5051.8710000000001</v>
      </c>
      <c r="Z23" s="545">
        <v>5117.4472347880001</v>
      </c>
      <c r="AA23" s="545">
        <v>5018.7139200000001</v>
      </c>
      <c r="AB23" s="545">
        <v>5530.4651800000001</v>
      </c>
      <c r="AC23" s="545">
        <v>5690.4941200000003</v>
      </c>
      <c r="AD23" s="545">
        <v>5100.1293800000003</v>
      </c>
      <c r="AE23" s="545">
        <v>5323.4332000000004</v>
      </c>
      <c r="AF23" s="545">
        <v>5380.0144099999998</v>
      </c>
      <c r="AG23" s="545">
        <v>5724.6866099999997</v>
      </c>
      <c r="AH23" s="545">
        <v>5408.0410000000002</v>
      </c>
      <c r="AI23" s="545">
        <v>5019.1589999999997</v>
      </c>
      <c r="AJ23" s="545">
        <v>4885.9143999999997</v>
      </c>
      <c r="AK23" s="545">
        <v>5162.4081100000003</v>
      </c>
      <c r="AL23" s="545">
        <v>4897.5316400000002</v>
      </c>
      <c r="AM23" s="545">
        <v>4950.3426200000004</v>
      </c>
      <c r="AN23" s="545">
        <v>5118.3275199999998</v>
      </c>
      <c r="AO23" s="545">
        <v>5130.9789199999996</v>
      </c>
      <c r="AP23" s="545">
        <v>5145.6825427968097</v>
      </c>
      <c r="AQ23" s="545">
        <v>5155.3091677757502</v>
      </c>
      <c r="AR23" s="545">
        <v>5149.1675841185797</v>
      </c>
      <c r="AS23" s="545">
        <v>5230.6676508952996</v>
      </c>
      <c r="AT23" s="545">
        <v>5085.8281458750198</v>
      </c>
      <c r="AU23" s="545">
        <v>5133.5696034000002</v>
      </c>
      <c r="AV23" s="545">
        <v>5077.3696366180002</v>
      </c>
      <c r="AW23" s="545">
        <v>5189.0024666953896</v>
      </c>
      <c r="AX23" s="545">
        <v>4947.3239999999996</v>
      </c>
      <c r="AY23" s="545">
        <v>5065.9979999999996</v>
      </c>
      <c r="AZ23" s="545">
        <v>4854.4390000000003</v>
      </c>
      <c r="BA23" s="545">
        <v>5194.0339999999997</v>
      </c>
      <c r="BB23" s="545">
        <v>4995.2569999999996</v>
      </c>
      <c r="BC23" s="545">
        <v>5059.3161849999997</v>
      </c>
      <c r="BD23" s="545">
        <v>4917.2255260422899</v>
      </c>
      <c r="BE23" s="545">
        <v>5220.58050424457</v>
      </c>
    </row>
    <row r="24" spans="1:57">
      <c r="B24" s="270" t="s">
        <v>674</v>
      </c>
      <c r="C24" s="270" t="s">
        <v>673</v>
      </c>
      <c r="D24" s="545">
        <v>491.05200000000002</v>
      </c>
      <c r="E24" s="545">
        <v>492.601</v>
      </c>
      <c r="F24" s="545">
        <v>483.43700000000001</v>
      </c>
      <c r="G24" s="545">
        <v>489.42099999999999</v>
      </c>
      <c r="H24" s="545">
        <v>493.18200000000002</v>
      </c>
      <c r="I24" s="545">
        <v>493.97699999999998</v>
      </c>
      <c r="J24" s="545">
        <v>485.64704399999999</v>
      </c>
      <c r="K24" s="545">
        <v>491.20800000000003</v>
      </c>
      <c r="L24" s="545">
        <v>497.64100000000002</v>
      </c>
      <c r="M24" s="545">
        <v>499.096</v>
      </c>
      <c r="N24" s="545">
        <v>484.79199999999997</v>
      </c>
      <c r="O24" s="545">
        <v>492.02414900000002</v>
      </c>
      <c r="P24" s="545">
        <v>482.15</v>
      </c>
      <c r="Q24" s="545">
        <v>484.10278299999999</v>
      </c>
      <c r="R24" s="545">
        <v>471.61503900000002</v>
      </c>
      <c r="S24" s="545">
        <v>480.34319599999998</v>
      </c>
      <c r="T24" s="545">
        <v>488.329948</v>
      </c>
      <c r="U24" s="545">
        <v>487.633197</v>
      </c>
      <c r="V24" s="545">
        <v>475.99822699999999</v>
      </c>
      <c r="W24" s="545">
        <v>485.61309999999997</v>
      </c>
      <c r="X24" s="545">
        <v>489.95412399999998</v>
      </c>
      <c r="Y24" s="545">
        <v>493.293474</v>
      </c>
      <c r="Z24" s="545">
        <v>479.94874949402799</v>
      </c>
      <c r="AA24" s="545">
        <v>474.39479156562697</v>
      </c>
      <c r="AB24" s="545">
        <v>458.616780721319</v>
      </c>
      <c r="AC24" s="545">
        <v>451.22692065515002</v>
      </c>
      <c r="AD24" s="545">
        <v>436.75132098942402</v>
      </c>
      <c r="AE24" s="545">
        <v>441.84744391906099</v>
      </c>
      <c r="AF24" s="545">
        <v>449.74515024504802</v>
      </c>
      <c r="AG24" s="545">
        <v>449.06543489452298</v>
      </c>
      <c r="AH24" s="545">
        <v>431.26541600000002</v>
      </c>
      <c r="AI24" s="545">
        <v>443.29487899999998</v>
      </c>
      <c r="AJ24" s="545">
        <v>418.83631800000001</v>
      </c>
      <c r="AK24" s="545">
        <v>411.59389099999999</v>
      </c>
      <c r="AL24" s="545">
        <v>403.46161899999998</v>
      </c>
      <c r="AM24" s="545">
        <v>413.33520600000003</v>
      </c>
      <c r="AN24" s="545">
        <v>415.62663500000002</v>
      </c>
      <c r="AO24" s="545">
        <v>413.53919200000001</v>
      </c>
      <c r="AP24" s="545">
        <v>408.18944800000003</v>
      </c>
      <c r="AQ24" s="545">
        <v>409.81673000000001</v>
      </c>
      <c r="AR24" s="545">
        <v>416.80533200000002</v>
      </c>
      <c r="AS24" s="545">
        <v>399.09223600000001</v>
      </c>
      <c r="AT24" s="545">
        <v>348.089991</v>
      </c>
      <c r="AU24" s="545">
        <v>354.90514498464199</v>
      </c>
      <c r="AV24" s="545">
        <v>389.26785341069098</v>
      </c>
      <c r="AW24" s="545">
        <v>395.29178650046299</v>
      </c>
      <c r="AX24" s="545">
        <v>387.43881099999999</v>
      </c>
      <c r="AY24" s="545">
        <v>392.22300000000001</v>
      </c>
      <c r="AZ24" s="545">
        <v>398.28908186928999</v>
      </c>
      <c r="BA24" s="545">
        <v>396.28944568918303</v>
      </c>
      <c r="BB24" s="545">
        <v>383.95667517361102</v>
      </c>
      <c r="BC24" s="545">
        <v>394.241548999369</v>
      </c>
      <c r="BD24" s="545">
        <v>397.01488398989898</v>
      </c>
      <c r="BE24" s="545">
        <v>394.40600000000001</v>
      </c>
    </row>
    <row r="26" spans="1:57" s="589" customFormat="1" ht="15.75">
      <c r="A26" s="588" t="s">
        <v>683</v>
      </c>
    </row>
    <row r="27" spans="1:57">
      <c r="A27" s="270" t="s">
        <v>677</v>
      </c>
      <c r="D27" s="544" t="s">
        <v>657</v>
      </c>
      <c r="E27" s="544" t="s">
        <v>658</v>
      </c>
      <c r="F27" s="544" t="s">
        <v>659</v>
      </c>
      <c r="G27" s="544" t="s">
        <v>660</v>
      </c>
      <c r="H27" s="544" t="s">
        <v>661</v>
      </c>
      <c r="I27" s="544" t="s">
        <v>662</v>
      </c>
      <c r="J27" s="544" t="s">
        <v>663</v>
      </c>
      <c r="K27" s="544" t="s">
        <v>664</v>
      </c>
      <c r="L27" s="544" t="s">
        <v>665</v>
      </c>
      <c r="M27" s="544" t="s">
        <v>666</v>
      </c>
      <c r="N27" s="544" t="s">
        <v>667</v>
      </c>
      <c r="O27" s="544" t="s">
        <v>668</v>
      </c>
      <c r="P27" s="544" t="s">
        <v>669</v>
      </c>
    </row>
    <row r="28" spans="1:57">
      <c r="B28" s="270" t="s">
        <v>678</v>
      </c>
      <c r="C28" s="270" t="s">
        <v>684</v>
      </c>
      <c r="D28" s="549">
        <f>SUM(D16:G16)*1000</f>
        <v>16969000</v>
      </c>
      <c r="E28" s="549">
        <f>SUM(H16:K16)*1000</f>
        <v>16814391.670000002</v>
      </c>
      <c r="F28" s="549">
        <f>SUM(L16:O16)*1000</f>
        <v>16395202.389999999</v>
      </c>
      <c r="G28" s="549">
        <f>SUM(P16:S16)*1000</f>
        <v>17706900</v>
      </c>
      <c r="H28" s="549">
        <f>SUM(T16:W16)*1000</f>
        <v>19504346.999999996</v>
      </c>
      <c r="I28" s="549">
        <f>SUM(X16:AA16)*1000</f>
        <v>21562504.999999996</v>
      </c>
      <c r="J28" s="549">
        <f>SUM(AB16:AE16)*1000</f>
        <v>25280137.239999991</v>
      </c>
      <c r="K28" s="549">
        <f>SUM(AF16:AI16)*1000</f>
        <v>26236977.20999999</v>
      </c>
      <c r="L28" s="549">
        <f>SUM(AJ16:AM16)*1000</f>
        <v>27433515.000000004</v>
      </c>
    </row>
    <row r="29" spans="1:57">
      <c r="B29" s="270" t="s">
        <v>679</v>
      </c>
      <c r="C29" s="270" t="s">
        <v>684</v>
      </c>
      <c r="D29" s="549">
        <f>SUM(D17:G17)*1000</f>
        <v>41362651.5</v>
      </c>
      <c r="E29" s="549">
        <f>SUM(H17:K17)*1000</f>
        <v>41397876.799999997</v>
      </c>
      <c r="F29" s="549">
        <f>SUM(L17:O17)*1000</f>
        <v>41363971.799999997</v>
      </c>
      <c r="G29" s="549">
        <f>SUM(P17:S17)*1000</f>
        <v>42899055.5</v>
      </c>
      <c r="H29" s="549">
        <f>SUM(T17:W17)*1000</f>
        <v>42340147.500000007</v>
      </c>
      <c r="I29" s="549">
        <f>SUM(X17:AA17)*1000</f>
        <v>43767500</v>
      </c>
      <c r="J29" s="549">
        <f>SUM(AB17:AE17)*1000</f>
        <v>45732914.5</v>
      </c>
      <c r="K29" s="549">
        <f>SUM(AF17:AI17)*1000</f>
        <v>46561354.800000004</v>
      </c>
      <c r="L29" s="549">
        <f>SUM(AJ17:AM17)*1000</f>
        <v>46000746.299999997</v>
      </c>
    </row>
    <row r="30" spans="1:57">
      <c r="B30" s="270" t="s">
        <v>680</v>
      </c>
      <c r="C30" s="270" t="s">
        <v>684</v>
      </c>
      <c r="D30" s="549">
        <f>SUM(D18:G18)*1000</f>
        <v>4352141</v>
      </c>
      <c r="E30" s="549">
        <f>SUM(H18:K18)*1000</f>
        <v>5250989.0000000009</v>
      </c>
      <c r="F30" s="549">
        <f>SUM(L18:O18)*1000</f>
        <v>6295879.0000000009</v>
      </c>
      <c r="G30" s="549">
        <f>SUM(P18:S18)*1000</f>
        <v>7203617.9999999991</v>
      </c>
      <c r="H30" s="549">
        <f>SUM(T18:W18)*1000</f>
        <v>6982265.9000000004</v>
      </c>
      <c r="I30" s="549">
        <f>SUM(X18:AA18)*1000</f>
        <v>7565278</v>
      </c>
      <c r="J30" s="549">
        <f>SUM(AB18:AE18)*1000</f>
        <v>7929429.3999999901</v>
      </c>
      <c r="K30" s="549">
        <f>SUM(AF18:AI18)*1000</f>
        <v>7483917.6319999993</v>
      </c>
      <c r="L30" s="549">
        <f>SUM(AJ18:AM18)*1000</f>
        <v>6870769.3600000003</v>
      </c>
    </row>
    <row r="31" spans="1:57">
      <c r="B31" s="270" t="s">
        <v>608</v>
      </c>
      <c r="C31" s="270" t="s">
        <v>684</v>
      </c>
      <c r="D31" s="549">
        <f>SUM(D19:G19)*1000</f>
        <v>62683792.499999993</v>
      </c>
      <c r="E31" s="549">
        <f>SUM(H19:K19)*1000</f>
        <v>63463257.470000006</v>
      </c>
      <c r="F31" s="549">
        <f>SUM(L19:O19)*1000</f>
        <v>64055053.190000005</v>
      </c>
      <c r="G31" s="549">
        <f>SUM(P19:S19)*1000</f>
        <v>67809573.5</v>
      </c>
      <c r="H31" s="549">
        <f>SUM(T19:W19)*1000</f>
        <v>68826760.400000006</v>
      </c>
      <c r="I31" s="549">
        <f>SUM(X19:AA19)*1000</f>
        <v>72895283</v>
      </c>
      <c r="J31" s="549">
        <f>SUM(AB19:AE19)*1000</f>
        <v>78942481.139999986</v>
      </c>
      <c r="K31" s="549">
        <f>SUM(AF19:AI19)*1000</f>
        <v>80282249.642000005</v>
      </c>
      <c r="L31" s="549">
        <f>SUM(AJ19:AM19)*1000</f>
        <v>80305030.659999996</v>
      </c>
    </row>
    <row r="32" spans="1:57">
      <c r="B32" s="270" t="s">
        <v>681</v>
      </c>
      <c r="C32" s="270" t="s">
        <v>684</v>
      </c>
      <c r="D32" s="549">
        <f>SUM(D20:G20)*1000</f>
        <v>23224166.242499996</v>
      </c>
      <c r="E32" s="549">
        <f>SUM(H20:K20)*1000</f>
        <v>23569452.378620002</v>
      </c>
      <c r="F32" s="549">
        <f>SUM(L20:O20)*1000</f>
        <v>23868251.255939998</v>
      </c>
      <c r="G32" s="549">
        <f>SUM(P20:S20)*1000</f>
        <v>25442434.5055</v>
      </c>
      <c r="H32" s="549">
        <f>SUM(T20:W20)*1000</f>
        <v>26039277.164299998</v>
      </c>
      <c r="I32" s="549">
        <f>SUM(X20:AA20)*1000</f>
        <v>27988856.329700001</v>
      </c>
      <c r="J32" s="549">
        <f>SUM(AB20:AE20)*1000</f>
        <v>30761903.118539996</v>
      </c>
      <c r="K32" s="549">
        <f>SUM(AF20:AI20)*1000</f>
        <v>31299914.9025</v>
      </c>
      <c r="L32" s="549">
        <f>SUM(AJ20:AM20)*1000</f>
        <v>31489942.718699999</v>
      </c>
    </row>
    <row r="33" spans="1:16">
      <c r="D33" s="550" t="b">
        <f t="shared" ref="D33:L33" si="0">D31=D9*1000000</f>
        <v>1</v>
      </c>
      <c r="E33" s="550" t="b">
        <f t="shared" si="0"/>
        <v>1</v>
      </c>
      <c r="F33" s="550" t="b">
        <f t="shared" si="0"/>
        <v>1</v>
      </c>
      <c r="G33" s="550" t="b">
        <f t="shared" si="0"/>
        <v>1</v>
      </c>
      <c r="H33" s="550" t="b">
        <f t="shared" si="0"/>
        <v>1</v>
      </c>
      <c r="I33" s="550" t="b">
        <f t="shared" si="0"/>
        <v>1</v>
      </c>
      <c r="J33" s="550" t="b">
        <f t="shared" si="0"/>
        <v>1</v>
      </c>
      <c r="K33" s="550" t="b">
        <f t="shared" si="0"/>
        <v>1</v>
      </c>
      <c r="L33" s="550" t="b">
        <f t="shared" si="0"/>
        <v>1</v>
      </c>
    </row>
    <row r="34" spans="1:16">
      <c r="A34" s="270" t="s">
        <v>682</v>
      </c>
      <c r="D34" s="549"/>
      <c r="E34" s="549"/>
      <c r="F34" s="549"/>
      <c r="G34" s="549"/>
      <c r="H34" s="549"/>
      <c r="I34" s="549"/>
      <c r="J34" s="549"/>
      <c r="K34" s="549"/>
      <c r="L34" s="549"/>
    </row>
    <row r="35" spans="1:16">
      <c r="B35" s="270" t="s">
        <v>672</v>
      </c>
      <c r="C35" s="270" t="s">
        <v>684</v>
      </c>
      <c r="D35" s="549">
        <f>SUM(D23:G23)*1000</f>
        <v>18505818</v>
      </c>
      <c r="E35" s="549">
        <f>SUM(H23:K23)*1000</f>
        <v>19358579</v>
      </c>
      <c r="F35" s="549">
        <f>SUM(L23:O23)*1000</f>
        <v>19596879</v>
      </c>
      <c r="G35" s="549">
        <f>SUM(P23:S23)*1000</f>
        <v>20056624</v>
      </c>
      <c r="H35" s="549">
        <f>SUM(T23:W23)*1000</f>
        <v>19543995</v>
      </c>
      <c r="I35" s="549">
        <f>SUM(X23:AA23)*1000</f>
        <v>20079738.964787997</v>
      </c>
      <c r="J35" s="549">
        <f>SUM(AB23:AE23)*1000</f>
        <v>21644521.879999999</v>
      </c>
      <c r="K35" s="549">
        <f>SUM(AF23:AI23)*1000</f>
        <v>21531901.02</v>
      </c>
      <c r="L35" s="549">
        <f>SUM(AJ23:AM23)*1000</f>
        <v>19896196.77</v>
      </c>
    </row>
    <row r="36" spans="1:16">
      <c r="B36" s="270" t="s">
        <v>674</v>
      </c>
      <c r="C36" s="270" t="s">
        <v>684</v>
      </c>
      <c r="D36" s="551">
        <f>SUM(D24:G24)*1000</f>
        <v>1956511.0000000002</v>
      </c>
      <c r="E36" s="552">
        <f>SUM(H24:K24)*1000</f>
        <v>1964014.044</v>
      </c>
      <c r="F36" s="552">
        <f>SUM(L24:O24)*1000</f>
        <v>1973553.149</v>
      </c>
      <c r="G36" s="552">
        <f>SUM(P24:S24)*1000</f>
        <v>1918211.0179999999</v>
      </c>
      <c r="H36" s="552">
        <f>SUM(T24:W24)*1000</f>
        <v>1937574.4720000001</v>
      </c>
      <c r="I36" s="552">
        <f>SUM(X24:AA24)*1000</f>
        <v>1937591.1390596549</v>
      </c>
      <c r="J36" s="552">
        <f>SUM(AB24:AE24)*1000</f>
        <v>1788442.4662849538</v>
      </c>
      <c r="K36" s="552">
        <f>SUM(AF24:AI24)*1000</f>
        <v>1773370.8801395709</v>
      </c>
      <c r="L36" s="552">
        <f>SUM(AJ24:AM24)*1000</f>
        <v>1647227.034</v>
      </c>
      <c r="M36" s="552">
        <f>M11*1000</f>
        <v>1647172.0049999999</v>
      </c>
      <c r="N36" s="552">
        <f t="shared" ref="N36:P36" si="1">N11*1000</f>
        <v>1518892.7039846401</v>
      </c>
      <c r="O36" s="552">
        <f t="shared" si="1"/>
        <v>1564221.4509111501</v>
      </c>
      <c r="P36" s="553">
        <f t="shared" si="1"/>
        <v>1572776.75173145</v>
      </c>
    </row>
    <row r="37" spans="1:16">
      <c r="D37" s="554" t="b">
        <f t="shared" ref="D37:L37" si="2">D35=D10*1000</f>
        <v>1</v>
      </c>
      <c r="E37" s="554" t="b">
        <f t="shared" si="2"/>
        <v>1</v>
      </c>
      <c r="F37" s="554" t="b">
        <f t="shared" si="2"/>
        <v>1</v>
      </c>
      <c r="G37" s="554" t="b">
        <f t="shared" si="2"/>
        <v>1</v>
      </c>
      <c r="H37" s="554" t="b">
        <f t="shared" si="2"/>
        <v>1</v>
      </c>
      <c r="I37" s="554" t="b">
        <f t="shared" si="2"/>
        <v>1</v>
      </c>
      <c r="J37" s="554" t="b">
        <f t="shared" si="2"/>
        <v>1</v>
      </c>
      <c r="K37" s="554" t="b">
        <f t="shared" si="2"/>
        <v>1</v>
      </c>
      <c r="L37" s="554" t="b">
        <f t="shared" si="2"/>
        <v>1</v>
      </c>
    </row>
    <row r="38" spans="1:16" s="560" customFormat="1">
      <c r="B38" s="561"/>
      <c r="C38" s="562"/>
      <c r="D38" s="563" t="s">
        <v>654</v>
      </c>
    </row>
    <row r="39" spans="1:16" s="560" customFormat="1">
      <c r="B39" s="564" t="s">
        <v>700</v>
      </c>
      <c r="C39" s="564"/>
      <c r="D39" s="565">
        <v>22</v>
      </c>
      <c r="E39" s="560" t="s">
        <v>701</v>
      </c>
    </row>
    <row r="40" spans="1:16" s="560" customFormat="1">
      <c r="B40" s="561"/>
      <c r="C40" s="561"/>
      <c r="D40" s="566" t="s">
        <v>107</v>
      </c>
      <c r="E40" s="566" t="s">
        <v>120</v>
      </c>
      <c r="F40" s="566" t="s">
        <v>122</v>
      </c>
      <c r="G40" s="566" t="s">
        <v>109</v>
      </c>
      <c r="H40" s="563" t="s">
        <v>654</v>
      </c>
    </row>
    <row r="41" spans="1:16" s="560" customFormat="1">
      <c r="B41" s="564"/>
      <c r="C41" s="564" t="s">
        <v>702</v>
      </c>
      <c r="D41" s="565">
        <v>590000</v>
      </c>
      <c r="E41" s="565">
        <v>570000</v>
      </c>
      <c r="F41" s="565">
        <v>180000</v>
      </c>
      <c r="G41" s="565">
        <v>304000</v>
      </c>
      <c r="H41" s="560" t="s">
        <v>703</v>
      </c>
    </row>
    <row r="42" spans="1:16" s="560" customFormat="1">
      <c r="A42" s="560" t="s">
        <v>704</v>
      </c>
      <c r="D42" s="568" t="s">
        <v>657</v>
      </c>
      <c r="E42" s="568" t="s">
        <v>658</v>
      </c>
      <c r="F42" s="568" t="s">
        <v>659</v>
      </c>
      <c r="G42" s="568" t="s">
        <v>660</v>
      </c>
      <c r="H42" s="568" t="s">
        <v>661</v>
      </c>
      <c r="I42" s="568" t="s">
        <v>662</v>
      </c>
      <c r="J42" s="568" t="s">
        <v>663</v>
      </c>
      <c r="K42" s="568" t="s">
        <v>664</v>
      </c>
      <c r="L42" s="568" t="s">
        <v>665</v>
      </c>
      <c r="M42" s="568" t="s">
        <v>666</v>
      </c>
      <c r="N42" s="568" t="s">
        <v>667</v>
      </c>
      <c r="O42" s="568" t="s">
        <v>668</v>
      </c>
      <c r="P42" s="568" t="s">
        <v>669</v>
      </c>
    </row>
    <row r="43" spans="1:16" s="560" customFormat="1">
      <c r="B43" s="560" t="s">
        <v>107</v>
      </c>
      <c r="C43" s="560" t="s">
        <v>684</v>
      </c>
      <c r="D43" s="567">
        <f>$D$39*$D$41/SUM($D$41:$G$41)*D$36/1000</f>
        <v>15447.392201946474</v>
      </c>
      <c r="E43" s="567">
        <f t="shared" ref="E43:P43" si="3">$D$39*$D$41/SUM($D$41:$G$41)*E$36/1000</f>
        <v>15506.631563941606</v>
      </c>
      <c r="F43" s="567">
        <f t="shared" si="3"/>
        <v>15581.946395389294</v>
      </c>
      <c r="G43" s="567">
        <f t="shared" si="3"/>
        <v>15144.99940002433</v>
      </c>
      <c r="H43" s="567">
        <f t="shared" si="3"/>
        <v>15297.88117187348</v>
      </c>
      <c r="I43" s="567">
        <f t="shared" si="3"/>
        <v>15298.012764595085</v>
      </c>
      <c r="J43" s="567">
        <f t="shared" si="3"/>
        <v>14120.4277447559</v>
      </c>
      <c r="K43" s="567">
        <f t="shared" si="3"/>
        <v>14001.431888206587</v>
      </c>
      <c r="L43" s="567">
        <f t="shared" si="3"/>
        <v>13005.478650437957</v>
      </c>
      <c r="M43" s="567">
        <f t="shared" si="3"/>
        <v>13005.044175729927</v>
      </c>
      <c r="N43" s="567">
        <f t="shared" si="3"/>
        <v>11992.230716375077</v>
      </c>
      <c r="O43" s="567">
        <f t="shared" si="3"/>
        <v>12350.118268142778</v>
      </c>
      <c r="P43" s="567">
        <f t="shared" si="3"/>
        <v>12417.665594570693</v>
      </c>
    </row>
    <row r="44" spans="1:16" s="560" customFormat="1">
      <c r="B44" s="560" t="s">
        <v>120</v>
      </c>
      <c r="C44" s="560" t="s">
        <v>684</v>
      </c>
      <c r="D44" s="567">
        <f>$D$39*$E$41/SUM($D$41:$G$41)*D$36/1000</f>
        <v>14923.751788321171</v>
      </c>
      <c r="E44" s="567">
        <f t="shared" ref="E44:P44" si="4">$D$39*$E$41/SUM($D$41:$G$41)*E$36/1000</f>
        <v>14980.983036350366</v>
      </c>
      <c r="F44" s="567">
        <f t="shared" si="4"/>
        <v>15053.744822664235</v>
      </c>
      <c r="G44" s="567">
        <f t="shared" si="4"/>
        <v>14631.609589854015</v>
      </c>
      <c r="H44" s="567">
        <f t="shared" si="4"/>
        <v>14779.308928759127</v>
      </c>
      <c r="I44" s="567">
        <f t="shared" si="4"/>
        <v>14779.436060710506</v>
      </c>
      <c r="J44" s="567">
        <f t="shared" si="4"/>
        <v>13641.769177137056</v>
      </c>
      <c r="K44" s="567">
        <f t="shared" si="4"/>
        <v>13526.807078436874</v>
      </c>
      <c r="L44" s="567">
        <f t="shared" si="4"/>
        <v>12564.614967372263</v>
      </c>
      <c r="M44" s="567">
        <f t="shared" si="4"/>
        <v>12564.195220620439</v>
      </c>
      <c r="N44" s="567">
        <f t="shared" si="4"/>
        <v>11585.714420904736</v>
      </c>
      <c r="O44" s="567">
        <f t="shared" si="4"/>
        <v>11931.470191256583</v>
      </c>
      <c r="P44" s="567">
        <f t="shared" si="4"/>
        <v>11996.727777805585</v>
      </c>
    </row>
    <row r="45" spans="1:16" s="560" customFormat="1">
      <c r="B45" s="560" t="s">
        <v>122</v>
      </c>
      <c r="C45" s="560" t="s">
        <v>684</v>
      </c>
      <c r="D45" s="567">
        <f>$D$39*$F$41/SUM($D$41:$G$41)*D$36/1000</f>
        <v>4712.7637226277375</v>
      </c>
      <c r="E45" s="567">
        <f t="shared" ref="E45:P45" si="5">$D$39*$F$41/SUM($D$41:$G$41)*E$36/1000</f>
        <v>4730.8367483211678</v>
      </c>
      <c r="F45" s="567">
        <f t="shared" si="5"/>
        <v>4753.8141545255476</v>
      </c>
      <c r="G45" s="567">
        <f t="shared" si="5"/>
        <v>4620.5082915328458</v>
      </c>
      <c r="H45" s="567">
        <f t="shared" si="5"/>
        <v>4667.1501880291971</v>
      </c>
      <c r="I45" s="567">
        <f t="shared" si="5"/>
        <v>4667.1903349612121</v>
      </c>
      <c r="J45" s="567">
        <f t="shared" si="5"/>
        <v>4307.9271085695973</v>
      </c>
      <c r="K45" s="567">
        <f t="shared" si="5"/>
        <v>4271.6232879274339</v>
      </c>
      <c r="L45" s="567">
        <f t="shared" si="5"/>
        <v>3967.7731475912406</v>
      </c>
      <c r="M45" s="567">
        <f t="shared" si="5"/>
        <v>3967.640595985401</v>
      </c>
      <c r="N45" s="567">
        <f t="shared" si="5"/>
        <v>3658.6466592330748</v>
      </c>
      <c r="O45" s="567">
        <f t="shared" si="5"/>
        <v>3767.8326919757633</v>
      </c>
      <c r="P45" s="567">
        <f t="shared" si="5"/>
        <v>3788.4403508859741</v>
      </c>
    </row>
    <row r="46" spans="1:16" s="560" customFormat="1">
      <c r="B46" s="560" t="s">
        <v>109</v>
      </c>
      <c r="C46" s="560" t="s">
        <v>684</v>
      </c>
      <c r="D46" s="567">
        <f>$D$39*$G$41/SUM($D$41:$G$41)*D$36/1000</f>
        <v>7959.3342871046243</v>
      </c>
      <c r="E46" s="567">
        <f t="shared" ref="E46:P46" si="6">$D$39*$G$41/SUM($D$41:$G$41)*E$36/1000</f>
        <v>7989.8576193868621</v>
      </c>
      <c r="F46" s="567">
        <f t="shared" si="6"/>
        <v>8028.6639054209254</v>
      </c>
      <c r="G46" s="567">
        <f t="shared" si="6"/>
        <v>7803.5251145888087</v>
      </c>
      <c r="H46" s="567">
        <f t="shared" si="6"/>
        <v>7882.2980953382003</v>
      </c>
      <c r="I46" s="567">
        <f t="shared" si="6"/>
        <v>7882.3658990456042</v>
      </c>
      <c r="J46" s="567">
        <f t="shared" si="6"/>
        <v>7275.61022780643</v>
      </c>
      <c r="K46" s="567">
        <f t="shared" si="6"/>
        <v>7214.297108499667</v>
      </c>
      <c r="L46" s="567">
        <f t="shared" si="6"/>
        <v>6701.1279825985403</v>
      </c>
      <c r="M46" s="567">
        <f t="shared" si="6"/>
        <v>6700.904117664234</v>
      </c>
      <c r="N46" s="567">
        <f t="shared" si="6"/>
        <v>6179.0476911491933</v>
      </c>
      <c r="O46" s="567">
        <f t="shared" si="6"/>
        <v>6363.4507686701781</v>
      </c>
      <c r="P46" s="567">
        <f t="shared" si="6"/>
        <v>6398.2548148296464</v>
      </c>
    </row>
    <row r="47" spans="1:16" s="560" customFormat="1"/>
    <row r="48" spans="1:16">
      <c r="D48" s="544" t="s">
        <v>660</v>
      </c>
      <c r="E48" s="270" t="s">
        <v>692</v>
      </c>
    </row>
    <row r="49" spans="1:16">
      <c r="D49" s="544" t="s">
        <v>661</v>
      </c>
      <c r="E49" s="270" t="s">
        <v>693</v>
      </c>
    </row>
    <row r="50" spans="1:16">
      <c r="D50" s="544" t="s">
        <v>662</v>
      </c>
      <c r="E50" s="270" t="s">
        <v>694</v>
      </c>
    </row>
    <row r="51" spans="1:16">
      <c r="D51" s="544" t="s">
        <v>663</v>
      </c>
      <c r="E51" s="270" t="s">
        <v>695</v>
      </c>
    </row>
    <row r="52" spans="1:16">
      <c r="D52" s="544" t="s">
        <v>664</v>
      </c>
      <c r="E52" s="270" t="s">
        <v>696</v>
      </c>
    </row>
    <row r="53" spans="1:16">
      <c r="D53" s="544" t="s">
        <v>665</v>
      </c>
      <c r="E53" s="270" t="s">
        <v>697</v>
      </c>
    </row>
    <row r="54" spans="1:16">
      <c r="D54" s="544" t="s">
        <v>666</v>
      </c>
      <c r="E54" s="270" t="s">
        <v>698</v>
      </c>
    </row>
    <row r="56" spans="1:16" s="541" customFormat="1" ht="15.75">
      <c r="A56" s="540" t="s">
        <v>685</v>
      </c>
    </row>
    <row r="57" spans="1:16">
      <c r="C57" s="543" t="s">
        <v>728</v>
      </c>
      <c r="D57" s="590" t="s">
        <v>730</v>
      </c>
    </row>
    <row r="58" spans="1:16">
      <c r="C58" s="543" t="s">
        <v>731</v>
      </c>
      <c r="D58" s="590" t="s">
        <v>733</v>
      </c>
    </row>
    <row r="60" spans="1:16" s="570" customFormat="1" ht="12.75" customHeight="1">
      <c r="A60" s="569" t="s">
        <v>686</v>
      </c>
      <c r="C60" s="571"/>
      <c r="D60" s="475" t="s">
        <v>657</v>
      </c>
      <c r="E60" s="475" t="s">
        <v>658</v>
      </c>
      <c r="F60" s="475" t="s">
        <v>659</v>
      </c>
      <c r="G60" s="475" t="s">
        <v>660</v>
      </c>
      <c r="H60" s="475" t="s">
        <v>661</v>
      </c>
      <c r="I60" s="475" t="s">
        <v>662</v>
      </c>
      <c r="J60" s="475" t="s">
        <v>663</v>
      </c>
      <c r="K60" s="475" t="s">
        <v>664</v>
      </c>
      <c r="L60" s="475" t="s">
        <v>665</v>
      </c>
      <c r="M60" s="475" t="s">
        <v>666</v>
      </c>
      <c r="N60" s="568" t="s">
        <v>667</v>
      </c>
      <c r="O60" s="568" t="s">
        <v>668</v>
      </c>
      <c r="P60" s="568" t="s">
        <v>669</v>
      </c>
    </row>
    <row r="61" spans="1:16" s="455" customFormat="1" ht="25.5">
      <c r="B61" s="572" t="s">
        <v>687</v>
      </c>
      <c r="C61" s="457" t="s">
        <v>716</v>
      </c>
      <c r="D61" s="573">
        <f>219499537/1000</f>
        <v>219499.53700000001</v>
      </c>
      <c r="E61" s="573">
        <f>253118168/1000</f>
        <v>253118.16800000001</v>
      </c>
      <c r="F61" s="573">
        <f>268992514/1000</f>
        <v>268992.51400000002</v>
      </c>
      <c r="G61" s="573">
        <f>267426267/1000</f>
        <v>267426.26699999999</v>
      </c>
      <c r="H61" s="573">
        <f>269433062/1000</f>
        <v>269433.06199999998</v>
      </c>
      <c r="I61" s="573">
        <f>271014727/1000</f>
        <v>271014.72700000001</v>
      </c>
      <c r="J61" s="573">
        <f>252905522/1000</f>
        <v>252905.522</v>
      </c>
      <c r="K61" s="573">
        <v>243846.09299999999</v>
      </c>
      <c r="L61" s="573">
        <v>245740.54300000001</v>
      </c>
      <c r="M61" s="573">
        <v>275311.68400000001</v>
      </c>
    </row>
    <row r="62" spans="1:16" s="455" customFormat="1">
      <c r="B62" s="572"/>
      <c r="C62" s="457" t="s">
        <v>684</v>
      </c>
      <c r="D62" s="573">
        <f>D61*0.9</f>
        <v>197549.58330000003</v>
      </c>
      <c r="E62" s="573">
        <f t="shared" ref="E62:M62" si="7">E61*0.9</f>
        <v>227806.3512</v>
      </c>
      <c r="F62" s="573">
        <f t="shared" si="7"/>
        <v>242093.26260000002</v>
      </c>
      <c r="G62" s="573">
        <f t="shared" si="7"/>
        <v>240683.6403</v>
      </c>
      <c r="H62" s="573">
        <f t="shared" si="7"/>
        <v>242489.75579999998</v>
      </c>
      <c r="I62" s="573">
        <f t="shared" si="7"/>
        <v>243913.25430000003</v>
      </c>
      <c r="J62" s="573">
        <f t="shared" si="7"/>
        <v>227614.96979999999</v>
      </c>
      <c r="K62" s="573">
        <f t="shared" si="7"/>
        <v>219461.48370000001</v>
      </c>
      <c r="L62" s="573">
        <f t="shared" si="7"/>
        <v>221166.48870000002</v>
      </c>
      <c r="M62" s="573">
        <f t="shared" si="7"/>
        <v>247780.51560000001</v>
      </c>
      <c r="N62" s="573">
        <v>260663</v>
      </c>
      <c r="O62" s="573">
        <f>N62</f>
        <v>260663</v>
      </c>
      <c r="P62" s="573">
        <v>268991</v>
      </c>
    </row>
    <row r="63" spans="1:16" s="455" customFormat="1">
      <c r="D63" s="572"/>
      <c r="E63" s="466"/>
      <c r="F63" s="466"/>
      <c r="G63" s="466"/>
      <c r="H63" s="466"/>
      <c r="I63" s="466"/>
      <c r="J63" s="466"/>
      <c r="K63" s="466"/>
      <c r="L63" s="466"/>
    </row>
    <row r="64" spans="1:16" s="455" customFormat="1">
      <c r="C64" s="571" t="s">
        <v>688</v>
      </c>
      <c r="D64" s="475" t="s">
        <v>657</v>
      </c>
      <c r="E64" s="455" t="s">
        <v>689</v>
      </c>
    </row>
    <row r="65" spans="2:12" s="455" customFormat="1">
      <c r="D65" s="475" t="s">
        <v>658</v>
      </c>
      <c r="E65" s="455" t="s">
        <v>690</v>
      </c>
    </row>
    <row r="66" spans="2:12" s="455" customFormat="1">
      <c r="D66" s="475" t="s">
        <v>659</v>
      </c>
      <c r="E66" s="455" t="s">
        <v>691</v>
      </c>
    </row>
    <row r="67" spans="2:12" s="455" customFormat="1">
      <c r="D67" s="475" t="s">
        <v>660</v>
      </c>
      <c r="E67" s="455" t="s">
        <v>692</v>
      </c>
    </row>
    <row r="68" spans="2:12" s="455" customFormat="1">
      <c r="D68" s="475" t="s">
        <v>661</v>
      </c>
      <c r="E68" s="455" t="s">
        <v>693</v>
      </c>
    </row>
    <row r="69" spans="2:12" s="455" customFormat="1">
      <c r="D69" s="475" t="s">
        <v>662</v>
      </c>
      <c r="E69" s="455" t="s">
        <v>694</v>
      </c>
    </row>
    <row r="70" spans="2:12" s="455" customFormat="1">
      <c r="D70" s="475" t="s">
        <v>663</v>
      </c>
      <c r="E70" s="455" t="s">
        <v>695</v>
      </c>
    </row>
    <row r="71" spans="2:12" s="455" customFormat="1">
      <c r="D71" s="475" t="s">
        <v>664</v>
      </c>
      <c r="E71" s="455" t="s">
        <v>696</v>
      </c>
    </row>
    <row r="72" spans="2:12" s="455" customFormat="1">
      <c r="D72" s="475" t="s">
        <v>665</v>
      </c>
      <c r="E72" s="455" t="s">
        <v>697</v>
      </c>
    </row>
    <row r="73" spans="2:12" s="455" customFormat="1">
      <c r="D73" s="475" t="s">
        <v>666</v>
      </c>
      <c r="E73" s="455" t="s">
        <v>698</v>
      </c>
    </row>
    <row r="75" spans="2:12" s="434" customFormat="1" ht="15.75">
      <c r="B75" s="574" t="s">
        <v>705</v>
      </c>
      <c r="C75" s="574"/>
    </row>
    <row r="76" spans="2:12" s="434" customFormat="1">
      <c r="B76" s="575" t="s">
        <v>613</v>
      </c>
      <c r="C76" s="575"/>
      <c r="D76" s="576" t="s">
        <v>706</v>
      </c>
    </row>
    <row r="77" spans="2:12" s="434" customFormat="1">
      <c r="B77" s="575"/>
      <c r="C77" s="575"/>
      <c r="D77" s="576" t="s">
        <v>707</v>
      </c>
    </row>
    <row r="78" spans="2:12" s="434" customFormat="1">
      <c r="B78" s="575"/>
      <c r="C78" s="575"/>
      <c r="D78" s="576" t="s">
        <v>708</v>
      </c>
    </row>
    <row r="79" spans="2:12" s="434" customFormat="1">
      <c r="B79" s="575"/>
      <c r="C79" s="575"/>
      <c r="D79" s="576" t="s">
        <v>709</v>
      </c>
      <c r="F79" s="576"/>
      <c r="I79" s="577">
        <f>2/3</f>
        <v>0.66666666666666663</v>
      </c>
      <c r="J79" s="576" t="s">
        <v>710</v>
      </c>
      <c r="K79" s="577">
        <f>1/3</f>
        <v>0.33333333333333331</v>
      </c>
      <c r="L79" s="576" t="s">
        <v>711</v>
      </c>
    </row>
    <row r="80" spans="2:12" s="434" customFormat="1">
      <c r="B80" s="575"/>
      <c r="C80" s="575"/>
      <c r="D80" s="576"/>
      <c r="F80" s="576"/>
      <c r="I80" s="577"/>
      <c r="J80" s="576"/>
      <c r="K80" s="577"/>
      <c r="L80" s="576"/>
    </row>
    <row r="81" spans="2:16" s="434" customFormat="1">
      <c r="B81" s="435"/>
      <c r="C81" s="435"/>
      <c r="D81" s="475" t="s">
        <v>657</v>
      </c>
      <c r="E81" s="475" t="s">
        <v>658</v>
      </c>
      <c r="F81" s="475" t="s">
        <v>659</v>
      </c>
      <c r="G81" s="475" t="s">
        <v>660</v>
      </c>
      <c r="H81" s="475" t="s">
        <v>661</v>
      </c>
      <c r="I81" s="475" t="s">
        <v>662</v>
      </c>
      <c r="J81" s="475" t="s">
        <v>663</v>
      </c>
      <c r="K81" s="475" t="s">
        <v>664</v>
      </c>
      <c r="L81" s="475" t="s">
        <v>665</v>
      </c>
      <c r="M81" s="475" t="s">
        <v>666</v>
      </c>
      <c r="N81" s="568" t="s">
        <v>667</v>
      </c>
      <c r="O81" s="568" t="s">
        <v>668</v>
      </c>
      <c r="P81" s="568" t="s">
        <v>669</v>
      </c>
    </row>
    <row r="82" spans="2:16" s="434" customFormat="1">
      <c r="B82" s="435" t="s">
        <v>717</v>
      </c>
      <c r="C82" s="435"/>
      <c r="D82" s="583">
        <f>E82*Biosolids!K5/Biosolids!K6</f>
        <v>196364.46301532886</v>
      </c>
      <c r="E82" s="583">
        <f>F82*Biosolids!K6/Biosolids!K7</f>
        <v>200062.57788010087</v>
      </c>
      <c r="F82" s="583">
        <f>G82*Biosolids!K7/Biosolids!K8</f>
        <v>204435.75603680877</v>
      </c>
      <c r="G82" s="583">
        <f>H82*Biosolids!K8/Biosolids!K9</f>
        <v>208146.99038844756</v>
      </c>
      <c r="H82" s="583">
        <f>I82*Biosolids!K9/Biosolids!K10</f>
        <v>211067.40911046826</v>
      </c>
      <c r="I82" s="583">
        <f>J82*Biosolids!K10/Biosolids!K11</f>
        <v>214396.7883247688</v>
      </c>
      <c r="J82" s="583">
        <f>K82*Biosolids!K11/Biosolids!K12</f>
        <v>218261.44831563675</v>
      </c>
      <c r="K82" s="583">
        <f>L82*Biosolids!K12/Biosolids!K13</f>
        <v>221782.53579376105</v>
      </c>
      <c r="L82" s="583">
        <f>M82*Biosolids!K13/Biosolids!K14</f>
        <v>225044.38487718647</v>
      </c>
      <c r="M82" s="583">
        <f>N82*Biosolids!K14/Pop_Aus</f>
        <v>228322.13348388296</v>
      </c>
      <c r="N82" s="578">
        <v>232162.16349468974</v>
      </c>
      <c r="O82" s="578">
        <v>239656</v>
      </c>
      <c r="P82" s="578">
        <v>207767</v>
      </c>
    </row>
    <row r="83" spans="2:16" s="434" customFormat="1">
      <c r="B83" s="435" t="s">
        <v>712</v>
      </c>
      <c r="C83" s="435"/>
      <c r="D83" s="583">
        <f>E83*Biosolids!C13/Biosolids!C14</f>
        <v>202673.693154868</v>
      </c>
      <c r="E83" s="583">
        <f>F83*Biosolids!D13/Biosolids!D14</f>
        <v>206237.7173471541</v>
      </c>
      <c r="F83" s="583">
        <f>G83*Biosolids!E13/Biosolids!E14</f>
        <v>209216.66953771282</v>
      </c>
      <c r="G83" s="583">
        <f>H83*Biosolids!F13/Biosolids!F14</f>
        <v>210368.96296836835</v>
      </c>
      <c r="H83" s="583">
        <f>I83*Biosolids!G13/Biosolids!G14</f>
        <v>212924.53616799638</v>
      </c>
      <c r="I83" s="583">
        <f>J83*Biosolids!H13/Biosolids!H14</f>
        <v>214538.03242017384</v>
      </c>
      <c r="J83" s="583">
        <f>K83*Biosolids!I13/Biosolids!I14</f>
        <v>215228.34038380111</v>
      </c>
      <c r="K83" s="583">
        <f>L83*Biosolids!J13/Biosolids!J14</f>
        <v>220124.91525777522</v>
      </c>
      <c r="L83" s="583">
        <f>M83*Biosolids!K13/Biosolids!K14</f>
        <v>221789.89884336886</v>
      </c>
      <c r="M83" s="583">
        <f>N83*Biosolids!K14/Pop_Aus</f>
        <v>225020.24619155945</v>
      </c>
      <c r="N83" s="578">
        <v>228804.74349468976</v>
      </c>
      <c r="O83" s="578">
        <v>235131</v>
      </c>
      <c r="P83" s="578">
        <v>229988</v>
      </c>
    </row>
    <row r="84" spans="2:16" s="434" customFormat="1">
      <c r="B84" s="435" t="s">
        <v>713</v>
      </c>
      <c r="C84" s="435"/>
      <c r="D84" s="583">
        <f>E84*Biosolids!C13/Biosolids!C14</f>
        <v>59400.061755758994</v>
      </c>
      <c r="E84" s="583">
        <f>F84*Biosolids!D13/Biosolids!D14</f>
        <v>60444.613980694507</v>
      </c>
      <c r="F84" s="583">
        <f>G84*Biosolids!E13/Biosolids!E14</f>
        <v>61317.691987673097</v>
      </c>
      <c r="G84" s="583">
        <f>H84*Biosolids!F13/Biosolids!F14</f>
        <v>61655.40873756916</v>
      </c>
      <c r="H84" s="583">
        <f>I84*Biosolids!G13/Biosolids!G14</f>
        <v>62404.401877805045</v>
      </c>
      <c r="I84" s="583">
        <f>J84*Biosolids!H13/Biosolids!H14</f>
        <v>62877.288987770473</v>
      </c>
      <c r="J84" s="583">
        <f>K84*Biosolids!I13/Biosolids!I14</f>
        <v>63079.605998092185</v>
      </c>
      <c r="K84" s="583">
        <f>L84*Biosolids!J13/Biosolids!J14</f>
        <v>64514.70517341292</v>
      </c>
      <c r="L84" s="583">
        <f>M84*Biosolids!K13/Biosolids!K14</f>
        <v>65002.682306838986</v>
      </c>
      <c r="M84" s="583">
        <f>N84*Biosolids!K14/Pop_Aus</f>
        <v>65949.439771945472</v>
      </c>
      <c r="N84" s="578">
        <v>67058.608751999884</v>
      </c>
      <c r="O84" s="578">
        <v>63609</v>
      </c>
      <c r="P84" s="578">
        <v>59316</v>
      </c>
    </row>
    <row r="85" spans="2:16" s="434" customFormat="1">
      <c r="B85" s="435" t="s">
        <v>714</v>
      </c>
      <c r="C85" s="435"/>
      <c r="D85" s="578">
        <f t="shared" ref="D85:N85" si="8">D82/D83*D84</f>
        <v>57550.938398473787</v>
      </c>
      <c r="E85" s="578">
        <f t="shared" si="8"/>
        <v>58634.79021924016</v>
      </c>
      <c r="F85" s="578">
        <f t="shared" si="8"/>
        <v>59916.491107667222</v>
      </c>
      <c r="G85" s="578">
        <f t="shared" si="8"/>
        <v>61004.188017147178</v>
      </c>
      <c r="H85" s="578">
        <f t="shared" si="8"/>
        <v>61860.110903538502</v>
      </c>
      <c r="I85" s="578">
        <f t="shared" si="8"/>
        <v>62835.892850664095</v>
      </c>
      <c r="J85" s="578">
        <f t="shared" si="8"/>
        <v>63968.556091507853</v>
      </c>
      <c r="K85" s="578">
        <f t="shared" si="8"/>
        <v>65000.524327702144</v>
      </c>
      <c r="L85" s="578">
        <f t="shared" si="8"/>
        <v>65956.51439221132</v>
      </c>
      <c r="M85" s="578">
        <f t="shared" si="8"/>
        <v>66917.164324755111</v>
      </c>
      <c r="N85" s="578">
        <f t="shared" si="8"/>
        <v>68042.60895565548</v>
      </c>
      <c r="O85" s="578">
        <f>O82/O83*O84</f>
        <v>64833.129208824022</v>
      </c>
      <c r="P85" s="578">
        <f>P82/P83*P84</f>
        <v>53585.001704436756</v>
      </c>
    </row>
    <row r="86" spans="2:16" s="434" customFormat="1">
      <c r="B86" s="435" t="s">
        <v>715</v>
      </c>
      <c r="C86" s="435"/>
      <c r="D86" s="578">
        <f t="shared" ref="D86:N86" si="9">D62+D85</f>
        <v>255100.52169847381</v>
      </c>
      <c r="E86" s="578">
        <f t="shared" si="9"/>
        <v>286441.14141924016</v>
      </c>
      <c r="F86" s="578">
        <f t="shared" si="9"/>
        <v>302009.75370766723</v>
      </c>
      <c r="G86" s="578">
        <f t="shared" si="9"/>
        <v>301687.82831714716</v>
      </c>
      <c r="H86" s="578">
        <f t="shared" si="9"/>
        <v>304349.86670353846</v>
      </c>
      <c r="I86" s="578">
        <f t="shared" si="9"/>
        <v>306749.14715066412</v>
      </c>
      <c r="J86" s="578">
        <f t="shared" si="9"/>
        <v>291583.52589150786</v>
      </c>
      <c r="K86" s="578">
        <f t="shared" si="9"/>
        <v>284462.00802770216</v>
      </c>
      <c r="L86" s="578">
        <f t="shared" si="9"/>
        <v>287123.00309221132</v>
      </c>
      <c r="M86" s="578">
        <f t="shared" si="9"/>
        <v>314697.67992475512</v>
      </c>
      <c r="N86" s="578">
        <f t="shared" si="9"/>
        <v>328705.60895565548</v>
      </c>
      <c r="O86" s="578">
        <f>O62+O85</f>
        <v>325496.12920882402</v>
      </c>
      <c r="P86" s="578">
        <f>P62+P85</f>
        <v>322576.00170443673</v>
      </c>
    </row>
    <row r="87" spans="2:16" s="434" customFormat="1">
      <c r="B87" s="435" t="s">
        <v>718</v>
      </c>
      <c r="C87" s="435"/>
      <c r="D87" s="579">
        <f t="shared" ref="D87:N87" si="10">$I$79*(D86-D82)</f>
        <v>39157.372455429962</v>
      </c>
      <c r="E87" s="579">
        <f t="shared" si="10"/>
        <v>57585.709026092853</v>
      </c>
      <c r="F87" s="579">
        <f t="shared" si="10"/>
        <v>65049.331780572305</v>
      </c>
      <c r="G87" s="579">
        <f t="shared" si="10"/>
        <v>62360.558619133059</v>
      </c>
      <c r="H87" s="579">
        <f t="shared" si="10"/>
        <v>62188.305062046798</v>
      </c>
      <c r="I87" s="579">
        <f t="shared" si="10"/>
        <v>61568.239217263545</v>
      </c>
      <c r="J87" s="579">
        <f t="shared" si="10"/>
        <v>48881.385050580735</v>
      </c>
      <c r="K87" s="579">
        <f t="shared" si="10"/>
        <v>41786.314822627406</v>
      </c>
      <c r="L87" s="579">
        <f t="shared" si="10"/>
        <v>41385.745476683231</v>
      </c>
      <c r="M87" s="579">
        <f t="shared" si="10"/>
        <v>57583.697627248104</v>
      </c>
      <c r="N87" s="579">
        <f t="shared" si="10"/>
        <v>64362.296973977158</v>
      </c>
      <c r="O87" s="579">
        <f>$I$79*(O86-O82)</f>
        <v>57226.752805882672</v>
      </c>
      <c r="P87" s="581">
        <f>$I$79*(P86-P82)</f>
        <v>76539.334469624475</v>
      </c>
    </row>
    <row r="88" spans="2:16" s="434" customFormat="1">
      <c r="B88" s="435" t="s">
        <v>719</v>
      </c>
      <c r="C88" s="435"/>
      <c r="D88" s="580">
        <f t="shared" ref="D88:N88" si="11">$K$79*(D86-D82)</f>
        <v>19578.686227714981</v>
      </c>
      <c r="E88" s="580">
        <f t="shared" si="11"/>
        <v>28792.854513046426</v>
      </c>
      <c r="F88" s="580">
        <f t="shared" si="11"/>
        <v>32524.665890286153</v>
      </c>
      <c r="G88" s="580">
        <f t="shared" si="11"/>
        <v>31180.279309566529</v>
      </c>
      <c r="H88" s="580">
        <f t="shared" si="11"/>
        <v>31094.152531023399</v>
      </c>
      <c r="I88" s="580">
        <f t="shared" si="11"/>
        <v>30784.119608631772</v>
      </c>
      <c r="J88" s="580">
        <f t="shared" si="11"/>
        <v>24440.692525290367</v>
      </c>
      <c r="K88" s="580">
        <f t="shared" si="11"/>
        <v>20893.157411313703</v>
      </c>
      <c r="L88" s="580">
        <f t="shared" si="11"/>
        <v>20692.872738341615</v>
      </c>
      <c r="M88" s="580">
        <f t="shared" si="11"/>
        <v>28791.848813624052</v>
      </c>
      <c r="N88" s="580">
        <f t="shared" si="11"/>
        <v>32181.148486988579</v>
      </c>
      <c r="O88" s="580">
        <f>$K$79*(O86-O82)</f>
        <v>28613.376402941336</v>
      </c>
      <c r="P88" s="582">
        <f>$K$79*(P86-P82)</f>
        <v>38269.667234812237</v>
      </c>
    </row>
    <row r="89" spans="2:16" s="434" customFormat="1">
      <c r="P89" s="578"/>
    </row>
    <row r="91" spans="2:16">
      <c r="H91" s="549"/>
    </row>
  </sheetData>
  <phoneticPr fontId="63" type="noConversion"/>
  <pageMargins left="0.7" right="0.7" top="0.75" bottom="0.75" header="0.3" footer="0.3"/>
  <pageSetup paperSize="9" orientation="portrait" r:id="rId1"/>
  <headerFooter>
    <oddHeader>&amp;CBlue Environment</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B6FD6131ACCD942B99EE496FC609FF4" ma:contentTypeVersion="14" ma:contentTypeDescription="Create a new document." ma:contentTypeScope="" ma:versionID="5ac5b7171d34391e02205fbe47fc11af">
  <xsd:schema xmlns:xsd="http://www.w3.org/2001/XMLSchema" xmlns:xs="http://www.w3.org/2001/XMLSchema" xmlns:p="http://schemas.microsoft.com/office/2006/metadata/properties" xmlns:ns2="ac7ce04e-ea5d-4d46-bab0-39b1fa6a6f36" xmlns:ns3="425a5c30-4c2f-474f-aa2f-443e46b3d189" targetNamespace="http://schemas.microsoft.com/office/2006/metadata/properties" ma:root="true" ma:fieldsID="91d6c043d6d31e4249bddbe0bc290ad9" ns2:_="" ns3:_="">
    <xsd:import namespace="ac7ce04e-ea5d-4d46-bab0-39b1fa6a6f36"/>
    <xsd:import namespace="425a5c30-4c2f-474f-aa2f-443e46b3d189"/>
    <xsd:element name="properties">
      <xsd:complexType>
        <xsd:sequence>
          <xsd:element name="documentManagement">
            <xsd:complexType>
              <xsd:all>
                <xsd:element ref="ns2:MediaServiceMetadata" minOccurs="0"/>
                <xsd:element ref="ns2:MediaServiceFastMetadata" minOccurs="0"/>
                <xsd:element ref="ns2:Embargoed"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7ce04e-ea5d-4d46-bab0-39b1fa6a6f3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Embargoed" ma:index="10" nillable="true" ma:displayName="Embargoed" ma:default="0" ma:description="Is this file under embargo?" ma:format="Dropdown" ma:internalName="Embargoed">
      <xsd:simpleType>
        <xsd:restriction base="dms:Boolean"/>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25a5c30-4c2f-474f-aa2f-443e46b3d189"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Embargoed xmlns="ac7ce04e-ea5d-4d46-bab0-39b1fa6a6f36">false</Embargoed>
  </documentManagement>
</p:properties>
</file>

<file path=customXml/itemProps1.xml><?xml version="1.0" encoding="utf-8"?>
<ds:datastoreItem xmlns:ds="http://schemas.openxmlformats.org/officeDocument/2006/customXml" ds:itemID="{0751C7EF-429D-402B-A46D-CCCF38316D9A}">
  <ds:schemaRefs>
    <ds:schemaRef ds:uri="http://schemas.microsoft.com/sharepoint/v3/contenttype/forms"/>
  </ds:schemaRefs>
</ds:datastoreItem>
</file>

<file path=customXml/itemProps2.xml><?xml version="1.0" encoding="utf-8"?>
<ds:datastoreItem xmlns:ds="http://schemas.openxmlformats.org/officeDocument/2006/customXml" ds:itemID="{6AE6FD0B-DF82-4941-8546-2A31B093A5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c7ce04e-ea5d-4d46-bab0-39b1fa6a6f36"/>
    <ds:schemaRef ds:uri="425a5c30-4c2f-474f-aa2f-443e46b3d1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015A079-249C-4159-8CFA-F12ECFAEA8D1}">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schemas.microsoft.com/office/2006/metadata/properties"/>
    <ds:schemaRef ds:uri="425a5c30-4c2f-474f-aa2f-443e46b3d189"/>
    <ds:schemaRef ds:uri="ac7ce04e-ea5d-4d46-bab0-39b1fa6a6f36"/>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12</vt:i4>
      </vt:variant>
    </vt:vector>
  </HeadingPairs>
  <TitlesOfParts>
    <vt:vector size="20" baseType="lpstr">
      <vt:lpstr>Intro</vt:lpstr>
      <vt:lpstr>Generation by financial year</vt:lpstr>
      <vt:lpstr>Methods</vt:lpstr>
      <vt:lpstr>Basel data</vt:lpstr>
      <vt:lpstr>NEPM data</vt:lpstr>
      <vt:lpstr>Interstate 'D' wastes</vt:lpstr>
      <vt:lpstr>Biosolids</vt:lpstr>
      <vt:lpstr>D110 and J100</vt:lpstr>
      <vt:lpstr>Methods!_ftn1</vt:lpstr>
      <vt:lpstr>Methods!_ftnref1</vt:lpstr>
      <vt:lpstr>Nat_data_popn</vt:lpstr>
      <vt:lpstr>Pop_ACT</vt:lpstr>
      <vt:lpstr>Pop_Aus</vt:lpstr>
      <vt:lpstr>Pop_NSW</vt:lpstr>
      <vt:lpstr>Pop_NT</vt:lpstr>
      <vt:lpstr>Pop_Qld</vt:lpstr>
      <vt:lpstr>Pop_SA</vt:lpstr>
      <vt:lpstr>Pop_Tas</vt:lpstr>
      <vt:lpstr>Pop_Vic</vt:lpstr>
      <vt:lpstr>Pop_WA</vt:lpstr>
    </vt:vector>
  </TitlesOfParts>
  <Company>Department of Agriculture, Water and the Environment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Hazardous Waste Generation Historical Dataset 2019-20</dc:title>
  <dc:creator>Blue Environment Pty Ltd</dc:creator>
  <cp:lastPrinted>2013-11-22T02:14:30Z</cp:lastPrinted>
  <dcterms:created xsi:type="dcterms:W3CDTF">2013-01-18T05:23:10Z</dcterms:created>
  <dcterms:modified xsi:type="dcterms:W3CDTF">2021-10-26T01:00:23Z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0x0101004B6FD6131ACCD942B99EE496FC609FF4</vt:lpwstr>
  </property>
</Properties>
</file>